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labekova_M\Desktop\ГОР ДУМА\VII СОЗЫВ\РЕШЕНИЯ\2 сессия\ПРОЕКТЫ\Беловик для газеты бюджет\Внесение изменений\"/>
    </mc:Choice>
  </mc:AlternateContent>
  <bookViews>
    <workbookView xWindow="0" yWindow="0" windowWidth="19320" windowHeight="11835" tabRatio="924" activeTab="9"/>
  </bookViews>
  <sheets>
    <sheet name="Доходы 2019 " sheetId="22" r:id="rId1"/>
    <sheet name=" Ведомственная 2019  " sheetId="24" r:id="rId2"/>
    <sheet name="Ведомственная 2020-2021" sheetId="29" r:id="rId3"/>
    <sheet name="Расходы 2019" sheetId="21" r:id="rId4"/>
    <sheet name="Расходы 2020-2021" sheetId="30" r:id="rId5"/>
    <sheet name="МП, ВЦП и НПР 2019 " sheetId="25" r:id="rId6"/>
    <sheet name="МП, ВЦП и НПР 2020-2021" sheetId="31" r:id="rId7"/>
    <sheet name="Источники 2019" sheetId="14" r:id="rId8"/>
    <sheet name="Источники 2020-2021 годы" sheetId="32" r:id="rId9"/>
    <sheet name="Заимствования 2019" sheetId="33" r:id="rId10"/>
  </sheets>
  <definedNames>
    <definedName name="_xlnm._FilterDatabase" localSheetId="1" hidden="1">' Ведомственная 2019  '!$A$20:$G$1025</definedName>
    <definedName name="_xlnm._FilterDatabase" localSheetId="2" hidden="1">'Ведомственная 2020-2021'!$A$19:$H$859</definedName>
    <definedName name="_xlnm._FilterDatabase" localSheetId="5" hidden="1">'МП, ВЦП и НПР 2019 '!$B$21:$F$1071</definedName>
    <definedName name="_xlnm._FilterDatabase" localSheetId="6" hidden="1">'МП, ВЦП и НПР 2020-2021'!$A$20:$G$923</definedName>
    <definedName name="_xlnm._FilterDatabase" localSheetId="3" hidden="1">'Расходы 2019'!$A$18:$F$833</definedName>
    <definedName name="_xlnm._FilterDatabase" localSheetId="4" hidden="1">'Расходы 2020-2021'!$A$20:$G$725</definedName>
    <definedName name="_xlnm.Print_Titles" localSheetId="1">' Ведомственная 2019  '!$20:$20</definedName>
    <definedName name="_xlnm.Print_Titles" localSheetId="5">'МП, ВЦП и НПР 2019 '!$21:$21</definedName>
    <definedName name="_xlnm.Print_Titles" localSheetId="3">'Расходы 2019'!$18:$18</definedName>
    <definedName name="_xlnm.Print_Area" localSheetId="1">' Ведомственная 2019  '!$A$1:$G$1027</definedName>
    <definedName name="_xlnm.Print_Area" localSheetId="0">'Доходы 2019 '!$A$1:$C$78</definedName>
    <definedName name="_xlnm.Print_Area" localSheetId="5">'МП, ВЦП и НПР 2019 '!$A$1:$F$1073</definedName>
    <definedName name="_xlnm.Print_Area" localSheetId="3">'Расходы 2019'!$A$1:$F$838</definedName>
  </definedNames>
  <calcPr calcId="152511"/>
  <fileRecoveryPr autoRecover="0"/>
</workbook>
</file>

<file path=xl/calcChain.xml><?xml version="1.0" encoding="utf-8"?>
<calcChain xmlns="http://schemas.openxmlformats.org/spreadsheetml/2006/main">
  <c r="G514" i="24" l="1"/>
  <c r="G513" i="24" s="1"/>
  <c r="G512" i="24"/>
  <c r="G511" i="24" s="1"/>
  <c r="G509" i="24"/>
  <c r="G508" i="24" s="1"/>
  <c r="G502" i="24"/>
  <c r="G499" i="24"/>
  <c r="G496" i="24"/>
  <c r="G493" i="24"/>
  <c r="G490" i="24"/>
  <c r="G489" i="24" s="1"/>
  <c r="G487" i="24"/>
  <c r="G484" i="24"/>
  <c r="G478" i="24"/>
  <c r="G475" i="24"/>
  <c r="G472" i="24"/>
  <c r="G471" i="24" s="1"/>
  <c r="G469" i="24"/>
  <c r="G468" i="24" s="1"/>
  <c r="G460" i="24"/>
  <c r="G459" i="24"/>
  <c r="G457" i="24"/>
  <c r="G454" i="24"/>
  <c r="G448" i="24"/>
  <c r="H449" i="24"/>
  <c r="G486" i="24" l="1"/>
  <c r="G474" i="24"/>
  <c r="G447" i="24"/>
  <c r="G477" i="24"/>
  <c r="G492" i="24"/>
  <c r="G507" i="24"/>
  <c r="G470" i="24"/>
  <c r="G498" i="24"/>
  <c r="G501" i="24"/>
  <c r="G453" i="24"/>
  <c r="G483" i="24"/>
  <c r="G495" i="24"/>
  <c r="G456" i="24"/>
  <c r="G510" i="24"/>
  <c r="G506" i="24" s="1"/>
  <c r="G467" i="24"/>
  <c r="H448" i="24"/>
  <c r="G505" i="24" l="1"/>
  <c r="G446" i="24"/>
  <c r="G473" i="24"/>
  <c r="H447" i="24"/>
  <c r="G452" i="24"/>
  <c r="G466" i="24"/>
  <c r="G482" i="24"/>
  <c r="G445" i="24" l="1"/>
  <c r="H445" i="24" s="1"/>
  <c r="G465" i="24"/>
  <c r="G504" i="24"/>
  <c r="G481" i="24" s="1"/>
  <c r="H446" i="24"/>
  <c r="G451" i="24"/>
  <c r="G464" i="24" l="1"/>
  <c r="G480" i="24"/>
  <c r="G450" i="24"/>
  <c r="G444" i="24"/>
  <c r="G443" i="24" l="1"/>
  <c r="G442" i="24" s="1"/>
  <c r="H444" i="24"/>
  <c r="G463" i="24"/>
  <c r="G462" i="24" l="1"/>
  <c r="G441" i="24" l="1"/>
  <c r="F308" i="25" l="1"/>
  <c r="F307" i="25"/>
  <c r="F542" i="21"/>
  <c r="F541" i="21"/>
  <c r="G882" i="24"/>
  <c r="G881" i="24"/>
  <c r="F896" i="25" l="1"/>
  <c r="F898" i="25"/>
  <c r="F523" i="21"/>
  <c r="F525" i="21"/>
  <c r="G663" i="24"/>
  <c r="G665" i="24"/>
  <c r="F652" i="25" l="1"/>
  <c r="F767" i="25"/>
  <c r="F711" i="25"/>
  <c r="F741" i="25"/>
  <c r="F534" i="21"/>
  <c r="F376" i="21"/>
  <c r="F672" i="21"/>
  <c r="F531" i="21"/>
  <c r="G674" i="24"/>
  <c r="G621" i="24"/>
  <c r="G696" i="24"/>
  <c r="G671" i="24"/>
  <c r="F509" i="31" l="1"/>
  <c r="F541" i="31"/>
  <c r="F525" i="31"/>
  <c r="G622" i="29"/>
  <c r="G635" i="29"/>
  <c r="G632" i="29"/>
  <c r="F885" i="25" l="1"/>
  <c r="F877" i="25"/>
  <c r="F57" i="21"/>
  <c r="F50" i="21"/>
  <c r="G854" i="24"/>
  <c r="G849" i="24"/>
  <c r="C45" i="14" l="1"/>
  <c r="C41" i="14"/>
  <c r="F330" i="25"/>
  <c r="F501" i="25"/>
  <c r="F582" i="25"/>
  <c r="F551" i="25"/>
  <c r="F534" i="25"/>
  <c r="F533" i="25" s="1"/>
  <c r="F532" i="25" s="1"/>
  <c r="F531" i="25" s="1"/>
  <c r="F564" i="25"/>
  <c r="F559" i="25"/>
  <c r="F602" i="25"/>
  <c r="F545" i="25"/>
  <c r="F607" i="25"/>
  <c r="F952" i="25"/>
  <c r="F947" i="25"/>
  <c r="G899" i="24"/>
  <c r="G793" i="24"/>
  <c r="G777" i="24"/>
  <c r="G766" i="24"/>
  <c r="G760" i="24"/>
  <c r="G757" i="24"/>
  <c r="G753" i="24"/>
  <c r="G773" i="24"/>
  <c r="G750" i="24"/>
  <c r="G85" i="24"/>
  <c r="G82" i="24"/>
  <c r="G765" i="24" l="1"/>
  <c r="F563" i="21"/>
  <c r="F691" i="21"/>
  <c r="F459" i="21"/>
  <c r="F399" i="21"/>
  <c r="F398" i="21" s="1"/>
  <c r="F388" i="21"/>
  <c r="F387" i="21" s="1"/>
  <c r="F366" i="21"/>
  <c r="F363" i="21"/>
  <c r="F359" i="21"/>
  <c r="F358" i="21" s="1"/>
  <c r="F357" i="21" s="1"/>
  <c r="F395" i="21"/>
  <c r="F356" i="21"/>
  <c r="F183" i="21"/>
  <c r="F180" i="21"/>
  <c r="F179" i="21" s="1"/>
  <c r="F178" i="21" s="1"/>
  <c r="C64" i="22"/>
  <c r="C66" i="22"/>
  <c r="C37" i="14"/>
  <c r="C32" i="14"/>
  <c r="C30" i="14"/>
  <c r="C25" i="33"/>
  <c r="C27" i="33" s="1"/>
  <c r="C22" i="33"/>
  <c r="C23" i="33" s="1"/>
  <c r="G117" i="31"/>
  <c r="F117" i="31"/>
  <c r="G329" i="31"/>
  <c r="F329" i="31"/>
  <c r="F328" i="31" s="1"/>
  <c r="F327" i="31" s="1"/>
  <c r="F326" i="31" s="1"/>
  <c r="F325" i="31" s="1"/>
  <c r="F819" i="25"/>
  <c r="F818" i="25" s="1"/>
  <c r="F817" i="25" s="1"/>
  <c r="F816" i="25" s="1"/>
  <c r="F815" i="25" s="1"/>
  <c r="F824" i="25"/>
  <c r="F823" i="25" s="1"/>
  <c r="F822" i="25" s="1"/>
  <c r="F821" i="25" s="1"/>
  <c r="F820" i="25" s="1"/>
  <c r="F814" i="25"/>
  <c r="F813" i="25" s="1"/>
  <c r="F812" i="25" s="1"/>
  <c r="F811" i="25" s="1"/>
  <c r="F810" i="25" s="1"/>
  <c r="H771" i="29"/>
  <c r="G771" i="29"/>
  <c r="H130" i="29"/>
  <c r="H129" i="29" s="1"/>
  <c r="H128" i="29" s="1"/>
  <c r="G130" i="29"/>
  <c r="G572" i="24"/>
  <c r="G575" i="24"/>
  <c r="G551" i="30"/>
  <c r="F551" i="30"/>
  <c r="G151" i="30"/>
  <c r="G150" i="30" s="1"/>
  <c r="G149" i="30" s="1"/>
  <c r="F151" i="30"/>
  <c r="F478" i="21"/>
  <c r="F477" i="21" s="1"/>
  <c r="F479" i="21"/>
  <c r="F482" i="21"/>
  <c r="F481" i="21" s="1"/>
  <c r="F480" i="21" s="1"/>
  <c r="F1071" i="25"/>
  <c r="F219" i="21"/>
  <c r="F218" i="21" s="1"/>
  <c r="F217" i="21" s="1"/>
  <c r="F216" i="21" s="1"/>
  <c r="G160" i="24"/>
  <c r="C55" i="22"/>
  <c r="C72" i="22"/>
  <c r="C34" i="22"/>
  <c r="C31" i="22" s="1"/>
  <c r="G708" i="31"/>
  <c r="G707" i="31" s="1"/>
  <c r="G706" i="31" s="1"/>
  <c r="G705" i="31" s="1"/>
  <c r="G713" i="31"/>
  <c r="G712" i="31" s="1"/>
  <c r="G711" i="31" s="1"/>
  <c r="G710" i="31" s="1"/>
  <c r="F708" i="31"/>
  <c r="F707" i="31" s="1"/>
  <c r="F706" i="31" s="1"/>
  <c r="F705" i="31" s="1"/>
  <c r="F713" i="31"/>
  <c r="F712" i="31" s="1"/>
  <c r="F711" i="31" s="1"/>
  <c r="F710" i="31" s="1"/>
  <c r="G242" i="30"/>
  <c r="G241" i="30" s="1"/>
  <c r="G245" i="30"/>
  <c r="G244" i="30" s="1"/>
  <c r="G248" i="30"/>
  <c r="G247" i="30" s="1"/>
  <c r="G251" i="30"/>
  <c r="G250" i="30" s="1"/>
  <c r="G258" i="30"/>
  <c r="G260" i="30"/>
  <c r="G263" i="30"/>
  <c r="G262" i="30" s="1"/>
  <c r="F242" i="30"/>
  <c r="F241" i="30" s="1"/>
  <c r="F245" i="30"/>
  <c r="F244" i="30" s="1"/>
  <c r="F248" i="30"/>
  <c r="F247" i="30" s="1"/>
  <c r="F258" i="30"/>
  <c r="F260" i="30"/>
  <c r="F263" i="30"/>
  <c r="F262" i="30" s="1"/>
  <c r="F252" i="30"/>
  <c r="F251" i="30" s="1"/>
  <c r="F250" i="30" s="1"/>
  <c r="G425" i="30"/>
  <c r="G424" i="30" s="1"/>
  <c r="G423" i="30" s="1"/>
  <c r="F425" i="30"/>
  <c r="F424" i="30" s="1"/>
  <c r="F423" i="30" s="1"/>
  <c r="F476" i="21"/>
  <c r="F475" i="21" s="1"/>
  <c r="F474" i="21" s="1"/>
  <c r="H487" i="29"/>
  <c r="H486" i="29" s="1"/>
  <c r="H485" i="29" s="1"/>
  <c r="H484" i="29" s="1"/>
  <c r="G487" i="29"/>
  <c r="H349" i="29"/>
  <c r="H348" i="29" s="1"/>
  <c r="H352" i="29"/>
  <c r="H351" i="29" s="1"/>
  <c r="H358" i="29"/>
  <c r="H357" i="29" s="1"/>
  <c r="G349" i="29"/>
  <c r="G352" i="29"/>
  <c r="H356" i="29"/>
  <c r="H355" i="29" s="1"/>
  <c r="H354" i="29" s="1"/>
  <c r="H364" i="29"/>
  <c r="H363" i="29" s="1"/>
  <c r="H365" i="29"/>
  <c r="H367" i="29"/>
  <c r="H370" i="29"/>
  <c r="H369" i="29" s="1"/>
  <c r="G356" i="29"/>
  <c r="G359" i="29"/>
  <c r="G364" i="29"/>
  <c r="G365" i="29"/>
  <c r="G367" i="29"/>
  <c r="G370" i="29"/>
  <c r="G123" i="24"/>
  <c r="G126" i="24"/>
  <c r="G125" i="24"/>
  <c r="G569" i="24"/>
  <c r="D29" i="32"/>
  <c r="D32" i="32"/>
  <c r="D31" i="32"/>
  <c r="D41" i="32"/>
  <c r="D40" i="32" s="1"/>
  <c r="D39" i="32" s="1"/>
  <c r="D38" i="32" s="1"/>
  <c r="D45" i="32"/>
  <c r="D44" i="32" s="1"/>
  <c r="D43" i="32" s="1"/>
  <c r="D42" i="32" s="1"/>
  <c r="C25" i="32"/>
  <c r="C24" i="32" s="1"/>
  <c r="C27" i="32"/>
  <c r="C26" i="32" s="1"/>
  <c r="C29" i="32"/>
  <c r="C32" i="32"/>
  <c r="C31" i="32" s="1"/>
  <c r="C28" i="32" s="1"/>
  <c r="C41" i="32"/>
  <c r="C40" i="32" s="1"/>
  <c r="C39" i="32" s="1"/>
  <c r="C38" i="32" s="1"/>
  <c r="C45" i="32"/>
  <c r="C44" i="32" s="1"/>
  <c r="C43" i="32" s="1"/>
  <c r="C42" i="32" s="1"/>
  <c r="D27" i="32"/>
  <c r="D26" i="32" s="1"/>
  <c r="D25" i="32"/>
  <c r="D24" i="32" s="1"/>
  <c r="F933" i="25"/>
  <c r="F932" i="25" s="1"/>
  <c r="F170" i="21"/>
  <c r="F169" i="21" s="1"/>
  <c r="G72" i="24"/>
  <c r="C71" i="22"/>
  <c r="C60" i="22"/>
  <c r="G601" i="31"/>
  <c r="G600" i="31" s="1"/>
  <c r="G599" i="31" s="1"/>
  <c r="G598" i="31" s="1"/>
  <c r="G606" i="31"/>
  <c r="G605" i="31" s="1"/>
  <c r="G604" i="31" s="1"/>
  <c r="G603" i="31" s="1"/>
  <c r="G611" i="31"/>
  <c r="G610" i="31" s="1"/>
  <c r="G609" i="31" s="1"/>
  <c r="G608" i="31" s="1"/>
  <c r="G616" i="31"/>
  <c r="G615" i="31" s="1"/>
  <c r="G614" i="31" s="1"/>
  <c r="G613" i="31" s="1"/>
  <c r="G621" i="31"/>
  <c r="G620" i="31" s="1"/>
  <c r="G619" i="31" s="1"/>
  <c r="G618" i="31" s="1"/>
  <c r="G626" i="31"/>
  <c r="G625" i="31" s="1"/>
  <c r="G624" i="31" s="1"/>
  <c r="G623" i="31" s="1"/>
  <c r="G631" i="31"/>
  <c r="G633" i="31"/>
  <c r="G630" i="31" s="1"/>
  <c r="G629" i="31" s="1"/>
  <c r="G628" i="31" s="1"/>
  <c r="G638" i="31"/>
  <c r="G637" i="31" s="1"/>
  <c r="G636" i="31" s="1"/>
  <c r="G635" i="31" s="1"/>
  <c r="G643" i="31"/>
  <c r="G642" i="31" s="1"/>
  <c r="G641" i="31" s="1"/>
  <c r="G640" i="31" s="1"/>
  <c r="G648" i="31"/>
  <c r="G647" i="31" s="1"/>
  <c r="G646" i="31"/>
  <c r="G645" i="31" s="1"/>
  <c r="G653" i="31"/>
  <c r="G652" i="31" s="1"/>
  <c r="G651" i="31" s="1"/>
  <c r="G650" i="31" s="1"/>
  <c r="G658" i="31"/>
  <c r="G657" i="31" s="1"/>
  <c r="G656" i="31" s="1"/>
  <c r="G655" i="31" s="1"/>
  <c r="G663" i="31"/>
  <c r="G662" i="31" s="1"/>
  <c r="G661" i="31" s="1"/>
  <c r="G660" i="31" s="1"/>
  <c r="G668" i="31"/>
  <c r="G667" i="31" s="1"/>
  <c r="G666" i="31" s="1"/>
  <c r="G665" i="31" s="1"/>
  <c r="F601" i="31"/>
  <c r="F600" i="31" s="1"/>
  <c r="F599" i="31" s="1"/>
  <c r="F598" i="31" s="1"/>
  <c r="F606" i="31"/>
  <c r="F605" i="31" s="1"/>
  <c r="F604" i="31" s="1"/>
  <c r="F603" i="31" s="1"/>
  <c r="F611" i="31"/>
  <c r="F610" i="31" s="1"/>
  <c r="F609" i="31" s="1"/>
  <c r="F608" i="31" s="1"/>
  <c r="F616" i="31"/>
  <c r="F615" i="31" s="1"/>
  <c r="F614" i="31" s="1"/>
  <c r="F613" i="31" s="1"/>
  <c r="F621" i="31"/>
  <c r="F620" i="31" s="1"/>
  <c r="F619" i="31" s="1"/>
  <c r="F618" i="31" s="1"/>
  <c r="F626" i="31"/>
  <c r="F625" i="31" s="1"/>
  <c r="F624" i="31" s="1"/>
  <c r="F623" i="31" s="1"/>
  <c r="F631" i="31"/>
  <c r="F633" i="31"/>
  <c r="F630" i="31" s="1"/>
  <c r="F629" i="31" s="1"/>
  <c r="F628" i="31" s="1"/>
  <c r="F639" i="31"/>
  <c r="F638" i="31" s="1"/>
  <c r="F637" i="31" s="1"/>
  <c r="F636" i="31" s="1"/>
  <c r="F635" i="31" s="1"/>
  <c r="F643" i="31"/>
  <c r="F642" i="31" s="1"/>
  <c r="F641" i="31" s="1"/>
  <c r="F640" i="31" s="1"/>
  <c r="F649" i="31"/>
  <c r="F648" i="31" s="1"/>
  <c r="F647" i="31" s="1"/>
  <c r="F646" i="31" s="1"/>
  <c r="F645" i="31" s="1"/>
  <c r="F654" i="31"/>
  <c r="F653" i="31" s="1"/>
  <c r="F652" i="31" s="1"/>
  <c r="F651" i="31" s="1"/>
  <c r="F650" i="31" s="1"/>
  <c r="F659" i="31"/>
  <c r="F658" i="31" s="1"/>
  <c r="F657" i="31" s="1"/>
  <c r="F656" i="31" s="1"/>
  <c r="F655" i="31" s="1"/>
  <c r="F663" i="31"/>
  <c r="F662" i="31" s="1"/>
  <c r="F661" i="31" s="1"/>
  <c r="F660" i="31" s="1"/>
  <c r="F668" i="31"/>
  <c r="F667" i="31" s="1"/>
  <c r="F666" i="31" s="1"/>
  <c r="F665" i="31" s="1"/>
  <c r="F169" i="31"/>
  <c r="F168" i="31"/>
  <c r="F167" i="31" s="1"/>
  <c r="F166" i="31" s="1"/>
  <c r="F165" i="31" s="1"/>
  <c r="G642" i="30"/>
  <c r="G644" i="30"/>
  <c r="G647" i="30"/>
  <c r="G646" i="30" s="1"/>
  <c r="G650" i="30"/>
  <c r="G649" i="30" s="1"/>
  <c r="F642" i="30"/>
  <c r="F644" i="30"/>
  <c r="F647" i="30"/>
  <c r="F646" i="30" s="1"/>
  <c r="F650" i="30"/>
  <c r="F649" i="30" s="1"/>
  <c r="H567" i="29"/>
  <c r="H569" i="29"/>
  <c r="H572" i="29"/>
  <c r="H571" i="29" s="1"/>
  <c r="H575" i="29"/>
  <c r="H574" i="29" s="1"/>
  <c r="G567" i="29"/>
  <c r="G569" i="29"/>
  <c r="G573" i="29"/>
  <c r="G575" i="29"/>
  <c r="F586" i="30"/>
  <c r="G337" i="30"/>
  <c r="G336" i="30" s="1"/>
  <c r="G340" i="30"/>
  <c r="G339" i="30" s="1"/>
  <c r="G343" i="30"/>
  <c r="G342" i="30" s="1"/>
  <c r="F337" i="30"/>
  <c r="F336" i="30" s="1"/>
  <c r="F340" i="30"/>
  <c r="F339" i="30" s="1"/>
  <c r="F343" i="30"/>
  <c r="F342" i="30" s="1"/>
  <c r="F290" i="30"/>
  <c r="G559" i="29"/>
  <c r="G509" i="29"/>
  <c r="G508" i="29" s="1"/>
  <c r="H517" i="29"/>
  <c r="H516" i="29" s="1"/>
  <c r="H520" i="29"/>
  <c r="H519" i="29" s="1"/>
  <c r="H523" i="29"/>
  <c r="H522" i="29" s="1"/>
  <c r="G517" i="29"/>
  <c r="G520" i="29"/>
  <c r="G523" i="29"/>
  <c r="G153" i="31"/>
  <c r="G152" i="31" s="1"/>
  <c r="G151" i="31" s="1"/>
  <c r="G150" i="31" s="1"/>
  <c r="G158" i="31"/>
  <c r="G157" i="31" s="1"/>
  <c r="G156" i="31" s="1"/>
  <c r="G155" i="31" s="1"/>
  <c r="G163" i="31"/>
  <c r="G162" i="31"/>
  <c r="G161" i="31" s="1"/>
  <c r="G160" i="31" s="1"/>
  <c r="G168" i="31"/>
  <c r="G167" i="31" s="1"/>
  <c r="G166" i="31" s="1"/>
  <c r="G165" i="31" s="1"/>
  <c r="F153" i="31"/>
  <c r="F152" i="31" s="1"/>
  <c r="F151" i="31" s="1"/>
  <c r="F150" i="31" s="1"/>
  <c r="F158" i="31"/>
  <c r="F157" i="31" s="1"/>
  <c r="F156" i="31" s="1"/>
  <c r="F155" i="31" s="1"/>
  <c r="F163" i="31"/>
  <c r="F162" i="31" s="1"/>
  <c r="F161" i="31" s="1"/>
  <c r="F160" i="31" s="1"/>
  <c r="F905" i="31"/>
  <c r="F904" i="31" s="1"/>
  <c r="F903" i="31" s="1"/>
  <c r="F902" i="31" s="1"/>
  <c r="F901" i="31" s="1"/>
  <c r="F900" i="31" s="1"/>
  <c r="G696" i="29"/>
  <c r="F724" i="30"/>
  <c r="F791" i="31"/>
  <c r="F790" i="31" s="1"/>
  <c r="F789" i="31" s="1"/>
  <c r="F788" i="31" s="1"/>
  <c r="F796" i="31"/>
  <c r="F798" i="31"/>
  <c r="F800" i="31"/>
  <c r="F805" i="31"/>
  <c r="F807" i="31"/>
  <c r="F809" i="31"/>
  <c r="F814" i="31"/>
  <c r="F813" i="31" s="1"/>
  <c r="F812" i="31" s="1"/>
  <c r="F811" i="31" s="1"/>
  <c r="F824" i="31"/>
  <c r="F823" i="31" s="1"/>
  <c r="F822" i="31" s="1"/>
  <c r="F821" i="31" s="1"/>
  <c r="F829" i="31"/>
  <c r="F828" i="31" s="1"/>
  <c r="F827" i="31" s="1"/>
  <c r="F826" i="31" s="1"/>
  <c r="F834" i="31"/>
  <c r="F833" i="31" s="1"/>
  <c r="F832" i="31" s="1"/>
  <c r="F831" i="31" s="1"/>
  <c r="F839" i="31"/>
  <c r="F838" i="31" s="1"/>
  <c r="F837" i="31" s="1"/>
  <c r="F836" i="31" s="1"/>
  <c r="F844" i="31"/>
  <c r="F843" i="31" s="1"/>
  <c r="F842" i="31" s="1"/>
  <c r="F841" i="31" s="1"/>
  <c r="F849" i="31"/>
  <c r="F848" i="31" s="1"/>
  <c r="F847" i="31" s="1"/>
  <c r="F846" i="31" s="1"/>
  <c r="F854" i="31"/>
  <c r="F856" i="31"/>
  <c r="F858" i="31"/>
  <c r="F863" i="31"/>
  <c r="F862" i="31" s="1"/>
  <c r="F861" i="31" s="1"/>
  <c r="F860" i="31" s="1"/>
  <c r="F869" i="31"/>
  <c r="F871" i="31"/>
  <c r="F873" i="31"/>
  <c r="F878" i="31"/>
  <c r="F877" i="31" s="1"/>
  <c r="F876" i="31" s="1"/>
  <c r="F875" i="31" s="1"/>
  <c r="F883" i="31"/>
  <c r="F882" i="31" s="1"/>
  <c r="F881" i="31" s="1"/>
  <c r="F880" i="31" s="1"/>
  <c r="F888" i="31"/>
  <c r="F887" i="31" s="1"/>
  <c r="F886" i="31" s="1"/>
  <c r="F885" i="31" s="1"/>
  <c r="F893" i="31"/>
  <c r="F892" i="31" s="1"/>
  <c r="F891" i="31" s="1"/>
  <c r="F890" i="31" s="1"/>
  <c r="F898" i="31"/>
  <c r="F897" i="31" s="1"/>
  <c r="F896" i="31" s="1"/>
  <c r="F895" i="31" s="1"/>
  <c r="F910" i="31"/>
  <c r="F909" i="31" s="1"/>
  <c r="F908" i="31" s="1"/>
  <c r="F907" i="31" s="1"/>
  <c r="F906" i="31" s="1"/>
  <c r="F916" i="31"/>
  <c r="F915" i="31" s="1"/>
  <c r="F914" i="31" s="1"/>
  <c r="F913" i="31" s="1"/>
  <c r="F912" i="31" s="1"/>
  <c r="F921" i="31"/>
  <c r="F920" i="31" s="1"/>
  <c r="F919" i="31" s="1"/>
  <c r="F918" i="31" s="1"/>
  <c r="F819" i="31"/>
  <c r="F818" i="31" s="1"/>
  <c r="F817" i="31" s="1"/>
  <c r="F816" i="31" s="1"/>
  <c r="F128" i="31"/>
  <c r="F127" i="31"/>
  <c r="F126" i="31" s="1"/>
  <c r="F133" i="31"/>
  <c r="F132" i="31" s="1"/>
  <c r="F131" i="31" s="1"/>
  <c r="F142" i="31"/>
  <c r="F141" i="31" s="1"/>
  <c r="F140" i="31" s="1"/>
  <c r="F139" i="31" s="1"/>
  <c r="F147" i="31"/>
  <c r="F146" i="31" s="1"/>
  <c r="F145" i="31"/>
  <c r="F144" i="31" s="1"/>
  <c r="F175" i="31"/>
  <c r="F177" i="31"/>
  <c r="F179" i="31"/>
  <c r="F184" i="31"/>
  <c r="F183" i="31" s="1"/>
  <c r="F182" i="31" s="1"/>
  <c r="F181" i="31" s="1"/>
  <c r="F28" i="31"/>
  <c r="F27" i="31" s="1"/>
  <c r="F26" i="31" s="1"/>
  <c r="F25" i="31" s="1"/>
  <c r="F33" i="31"/>
  <c r="F32" i="31" s="1"/>
  <c r="F31" i="31" s="1"/>
  <c r="F30" i="31" s="1"/>
  <c r="F40" i="31"/>
  <c r="F39" i="31" s="1"/>
  <c r="F38" i="31" s="1"/>
  <c r="F37" i="31" s="1"/>
  <c r="F36" i="31" s="1"/>
  <c r="F45" i="31"/>
  <c r="F44" i="31" s="1"/>
  <c r="F43" i="31" s="1"/>
  <c r="F42" i="31" s="1"/>
  <c r="F41" i="31" s="1"/>
  <c r="F49" i="31"/>
  <c r="F48" i="31" s="1"/>
  <c r="F47" i="31" s="1"/>
  <c r="F46" i="31" s="1"/>
  <c r="F54" i="31"/>
  <c r="F53" i="31" s="1"/>
  <c r="F52" i="31" s="1"/>
  <c r="F51" i="31" s="1"/>
  <c r="F59" i="31"/>
  <c r="F58" i="31"/>
  <c r="F57" i="31" s="1"/>
  <c r="F56" i="31" s="1"/>
  <c r="F64" i="31"/>
  <c r="F63" i="31" s="1"/>
  <c r="F62" i="31" s="1"/>
  <c r="F61" i="31" s="1"/>
  <c r="F69" i="31"/>
  <c r="F68" i="31" s="1"/>
  <c r="F67" i="31" s="1"/>
  <c r="F66" i="31" s="1"/>
  <c r="F74" i="31"/>
  <c r="F73" i="31" s="1"/>
  <c r="F72" i="31" s="1"/>
  <c r="F71" i="31" s="1"/>
  <c r="F79" i="31"/>
  <c r="F78" i="31" s="1"/>
  <c r="F77" i="31" s="1"/>
  <c r="F76" i="31" s="1"/>
  <c r="F85" i="31"/>
  <c r="F84" i="31" s="1"/>
  <c r="F83" i="31" s="1"/>
  <c r="F82" i="31" s="1"/>
  <c r="F90" i="31"/>
  <c r="F89" i="31" s="1"/>
  <c r="F88" i="31" s="1"/>
  <c r="F87" i="31" s="1"/>
  <c r="F95" i="31"/>
  <c r="F94" i="31" s="1"/>
  <c r="F93" i="31" s="1"/>
  <c r="F92" i="31" s="1"/>
  <c r="F100" i="31"/>
  <c r="F99" i="31" s="1"/>
  <c r="F98" i="31" s="1"/>
  <c r="F97" i="31" s="1"/>
  <c r="F105" i="31"/>
  <c r="F104" i="31" s="1"/>
  <c r="F103" i="31" s="1"/>
  <c r="F102" i="31" s="1"/>
  <c r="F111" i="31"/>
  <c r="F110" i="31" s="1"/>
  <c r="F109" i="31" s="1"/>
  <c r="F108" i="31" s="1"/>
  <c r="F116" i="31"/>
  <c r="F115" i="31"/>
  <c r="F114" i="31" s="1"/>
  <c r="F113" i="31" s="1"/>
  <c r="F122" i="31"/>
  <c r="F121" i="31" s="1"/>
  <c r="F120" i="31" s="1"/>
  <c r="F119" i="31" s="1"/>
  <c r="F118" i="31" s="1"/>
  <c r="F192" i="31"/>
  <c r="F191" i="31" s="1"/>
  <c r="F190" i="31" s="1"/>
  <c r="F189" i="31" s="1"/>
  <c r="F197" i="31"/>
  <c r="F199" i="31"/>
  <c r="F204" i="31"/>
  <c r="F203" i="31" s="1"/>
  <c r="F202" i="31" s="1"/>
  <c r="F201" i="31" s="1"/>
  <c r="F209" i="31"/>
  <c r="F208" i="31" s="1"/>
  <c r="F207" i="31" s="1"/>
  <c r="F206" i="31" s="1"/>
  <c r="F214" i="31"/>
  <c r="F213" i="31"/>
  <c r="F212" i="31" s="1"/>
  <c r="F211" i="31" s="1"/>
  <c r="F219" i="31"/>
  <c r="F218" i="31" s="1"/>
  <c r="F217" i="31" s="1"/>
  <c r="F216" i="31" s="1"/>
  <c r="F224" i="31"/>
  <c r="F223" i="31" s="1"/>
  <c r="F222" i="31" s="1"/>
  <c r="F221" i="31" s="1"/>
  <c r="F229" i="31"/>
  <c r="F228" i="31" s="1"/>
  <c r="F227" i="31" s="1"/>
  <c r="F226" i="31" s="1"/>
  <c r="F234" i="31"/>
  <c r="F233" i="31" s="1"/>
  <c r="F232" i="31" s="1"/>
  <c r="F231" i="31" s="1"/>
  <c r="F239" i="31"/>
  <c r="F241" i="31"/>
  <c r="F243" i="31"/>
  <c r="F248" i="31"/>
  <c r="F247" i="31" s="1"/>
  <c r="F246" i="31" s="1"/>
  <c r="F245" i="31" s="1"/>
  <c r="F253" i="31"/>
  <c r="F252" i="31" s="1"/>
  <c r="F251" i="31" s="1"/>
  <c r="F250" i="31" s="1"/>
  <c r="F259" i="31"/>
  <c r="F258" i="31" s="1"/>
  <c r="F257" i="31" s="1"/>
  <c r="F256" i="31" s="1"/>
  <c r="F264" i="31"/>
  <c r="F263" i="31" s="1"/>
  <c r="F262" i="31" s="1"/>
  <c r="F261" i="31" s="1"/>
  <c r="F269" i="31"/>
  <c r="F268" i="31" s="1"/>
  <c r="F267" i="31" s="1"/>
  <c r="F266" i="31" s="1"/>
  <c r="F274" i="31"/>
  <c r="F273" i="31" s="1"/>
  <c r="F272" i="31" s="1"/>
  <c r="F271" i="31" s="1"/>
  <c r="F279" i="31"/>
  <c r="F278" i="31" s="1"/>
  <c r="F277" i="31" s="1"/>
  <c r="F276" i="31" s="1"/>
  <c r="F285" i="31"/>
  <c r="F284" i="31" s="1"/>
  <c r="F283" i="31" s="1"/>
  <c r="F282" i="31" s="1"/>
  <c r="F281" i="31" s="1"/>
  <c r="F292" i="31"/>
  <c r="F291" i="31" s="1"/>
  <c r="F290" i="31" s="1"/>
  <c r="F289" i="31" s="1"/>
  <c r="F298" i="31"/>
  <c r="F297" i="31" s="1"/>
  <c r="F296" i="31" s="1"/>
  <c r="F295" i="31" s="1"/>
  <c r="F305" i="31"/>
  <c r="F304" i="31" s="1"/>
  <c r="F303" i="31" s="1"/>
  <c r="F302" i="31" s="1"/>
  <c r="F301" i="31" s="1"/>
  <c r="F310" i="31"/>
  <c r="F309" i="31" s="1"/>
  <c r="F308" i="31" s="1"/>
  <c r="F307" i="31" s="1"/>
  <c r="F316" i="31"/>
  <c r="F315" i="31" s="1"/>
  <c r="F314" i="31" s="1"/>
  <c r="F313" i="31" s="1"/>
  <c r="F322" i="31"/>
  <c r="F321" i="31" s="1"/>
  <c r="F320" i="31" s="1"/>
  <c r="F319" i="31" s="1"/>
  <c r="F330" i="31"/>
  <c r="F337" i="31"/>
  <c r="F336" i="31" s="1"/>
  <c r="F338" i="31"/>
  <c r="F340" i="31"/>
  <c r="F345" i="31"/>
  <c r="F347" i="31"/>
  <c r="F352" i="31"/>
  <c r="F354" i="31"/>
  <c r="F360" i="31"/>
  <c r="F359" i="31" s="1"/>
  <c r="F358" i="31" s="1"/>
  <c r="F357" i="31" s="1"/>
  <c r="F366" i="31"/>
  <c r="F365" i="31" s="1"/>
  <c r="F364" i="31" s="1"/>
  <c r="F363" i="31" s="1"/>
  <c r="F371" i="31"/>
  <c r="F370" i="31" s="1"/>
  <c r="F369" i="31" s="1"/>
  <c r="F368" i="31" s="1"/>
  <c r="F377" i="31"/>
  <c r="F376" i="31" s="1"/>
  <c r="F375" i="31" s="1"/>
  <c r="F374" i="31" s="1"/>
  <c r="F386" i="31"/>
  <c r="F385" i="31" s="1"/>
  <c r="F384" i="31" s="1"/>
  <c r="F383" i="31" s="1"/>
  <c r="F382" i="31" s="1"/>
  <c r="F390" i="31"/>
  <c r="F392" i="31"/>
  <c r="F399" i="31"/>
  <c r="F398" i="31" s="1"/>
  <c r="F397" i="31" s="1"/>
  <c r="F396" i="31" s="1"/>
  <c r="F404" i="31"/>
  <c r="F403" i="31" s="1"/>
  <c r="F402" i="31" s="1"/>
  <c r="F401" i="31" s="1"/>
  <c r="F409" i="31"/>
  <c r="F408" i="31" s="1"/>
  <c r="F407" i="31" s="1"/>
  <c r="F406" i="31" s="1"/>
  <c r="F414" i="31"/>
  <c r="F413" i="31" s="1"/>
  <c r="F412" i="31" s="1"/>
  <c r="F411" i="31" s="1"/>
  <c r="F419" i="31"/>
  <c r="F418" i="31" s="1"/>
  <c r="F417" i="31" s="1"/>
  <c r="F416" i="31" s="1"/>
  <c r="F424" i="31"/>
  <c r="F423" i="31" s="1"/>
  <c r="F422" i="31" s="1"/>
  <c r="F421" i="31" s="1"/>
  <c r="F429" i="31"/>
  <c r="F428" i="31" s="1"/>
  <c r="F427" i="31" s="1"/>
  <c r="F426" i="31" s="1"/>
  <c r="F435" i="31"/>
  <c r="F434" i="31" s="1"/>
  <c r="F433" i="31" s="1"/>
  <c r="F432" i="31" s="1"/>
  <c r="F440" i="31"/>
  <c r="F439" i="31" s="1"/>
  <c r="F438" i="31" s="1"/>
  <c r="F437" i="31" s="1"/>
  <c r="F445" i="31"/>
  <c r="F444" i="31" s="1"/>
  <c r="F443" i="31" s="1"/>
  <c r="F442" i="31" s="1"/>
  <c r="F452" i="31"/>
  <c r="F451" i="31" s="1"/>
  <c r="F450" i="31" s="1"/>
  <c r="F449" i="31" s="1"/>
  <c r="F448" i="31" s="1"/>
  <c r="F458" i="31"/>
  <c r="F457" i="31" s="1"/>
  <c r="F456" i="31" s="1"/>
  <c r="F455" i="31" s="1"/>
  <c r="F454" i="31" s="1"/>
  <c r="F464" i="31"/>
  <c r="F463" i="31" s="1"/>
  <c r="F462" i="31" s="1"/>
  <c r="F461" i="31" s="1"/>
  <c r="F460" i="31" s="1"/>
  <c r="F469" i="31"/>
  <c r="F468" i="31" s="1"/>
  <c r="F467" i="31" s="1"/>
  <c r="F466" i="31" s="1"/>
  <c r="F477" i="31"/>
  <c r="F476" i="31"/>
  <c r="F475" i="31" s="1"/>
  <c r="F474" i="31" s="1"/>
  <c r="F482" i="31"/>
  <c r="F484" i="31"/>
  <c r="F491" i="31"/>
  <c r="F490" i="31"/>
  <c r="F489" i="31" s="1"/>
  <c r="F488" i="31" s="1"/>
  <c r="F496" i="31"/>
  <c r="F495" i="31" s="1"/>
  <c r="F494" i="31" s="1"/>
  <c r="F493" i="31" s="1"/>
  <c r="F502" i="31"/>
  <c r="F501" i="31" s="1"/>
  <c r="F500" i="31" s="1"/>
  <c r="F499" i="31" s="1"/>
  <c r="F498" i="31" s="1"/>
  <c r="F508" i="31"/>
  <c r="F507" i="31" s="1"/>
  <c r="F506" i="31" s="1"/>
  <c r="F505" i="31" s="1"/>
  <c r="F513" i="31"/>
  <c r="F512" i="31" s="1"/>
  <c r="F511" i="31" s="1"/>
  <c r="F510" i="31" s="1"/>
  <c r="F518" i="31"/>
  <c r="F517" i="31" s="1"/>
  <c r="F516" i="31" s="1"/>
  <c r="F515" i="31" s="1"/>
  <c r="F524" i="31"/>
  <c r="F523" i="31" s="1"/>
  <c r="F522" i="31" s="1"/>
  <c r="F521" i="31" s="1"/>
  <c r="F520" i="31" s="1"/>
  <c r="F530" i="31"/>
  <c r="F529" i="31" s="1"/>
  <c r="F528" i="31" s="1"/>
  <c r="F527" i="31" s="1"/>
  <c r="F535" i="31"/>
  <c r="F534" i="31" s="1"/>
  <c r="F533" i="31" s="1"/>
  <c r="F532" i="31" s="1"/>
  <c r="F540" i="31"/>
  <c r="F539" i="31" s="1"/>
  <c r="F538" i="31" s="1"/>
  <c r="F537" i="31" s="1"/>
  <c r="F546" i="31"/>
  <c r="F545" i="31" s="1"/>
  <c r="F544" i="31" s="1"/>
  <c r="F543" i="31" s="1"/>
  <c r="F551" i="31"/>
  <c r="F550" i="31" s="1"/>
  <c r="F549" i="31" s="1"/>
  <c r="F548" i="31" s="1"/>
  <c r="F556" i="31"/>
  <c r="F555" i="31" s="1"/>
  <c r="F554" i="31" s="1"/>
  <c r="F553" i="31" s="1"/>
  <c r="F563" i="31"/>
  <c r="F562" i="31" s="1"/>
  <c r="F564" i="31"/>
  <c r="F567" i="31"/>
  <c r="F566" i="31" s="1"/>
  <c r="F571" i="31"/>
  <c r="F570" i="31" s="1"/>
  <c r="F569" i="31" s="1"/>
  <c r="F568" i="31" s="1"/>
  <c r="F576" i="31"/>
  <c r="F575" i="31" s="1"/>
  <c r="F574" i="31" s="1"/>
  <c r="F573" i="31" s="1"/>
  <c r="F581" i="31"/>
  <c r="F580" i="31" s="1"/>
  <c r="F579" i="31" s="1"/>
  <c r="F578" i="31" s="1"/>
  <c r="F589" i="31"/>
  <c r="F588" i="31" s="1"/>
  <c r="F587" i="31" s="1"/>
  <c r="F586" i="31" s="1"/>
  <c r="F585" i="31" s="1"/>
  <c r="F593" i="31"/>
  <c r="F595" i="31"/>
  <c r="F592" i="31" s="1"/>
  <c r="F591" i="31" s="1"/>
  <c r="F590" i="31" s="1"/>
  <c r="F675" i="31"/>
  <c r="F674" i="31" s="1"/>
  <c r="F673" i="31" s="1"/>
  <c r="F672" i="31" s="1"/>
  <c r="F671" i="31" s="1"/>
  <c r="F681" i="31"/>
  <c r="F680" i="31" s="1"/>
  <c r="F679" i="31" s="1"/>
  <c r="F678" i="31" s="1"/>
  <c r="F677" i="31" s="1"/>
  <c r="F688" i="31"/>
  <c r="F687" i="31" s="1"/>
  <c r="F686" i="31" s="1"/>
  <c r="F685" i="31" s="1"/>
  <c r="F684" i="31" s="1"/>
  <c r="F683" i="31" s="1"/>
  <c r="F696" i="31"/>
  <c r="F695" i="31"/>
  <c r="F694" i="31" s="1"/>
  <c r="F693" i="31" s="1"/>
  <c r="F692" i="31" s="1"/>
  <c r="F700" i="31"/>
  <c r="F702" i="31"/>
  <c r="F719" i="31"/>
  <c r="F718" i="31" s="1"/>
  <c r="F717" i="31" s="1"/>
  <c r="F716" i="31" s="1"/>
  <c r="F725" i="31"/>
  <c r="F724" i="31" s="1"/>
  <c r="F723" i="31" s="1"/>
  <c r="F722" i="31" s="1"/>
  <c r="F728" i="31"/>
  <c r="F730" i="31"/>
  <c r="F735" i="31"/>
  <c r="F734" i="31" s="1"/>
  <c r="F733" i="31" s="1"/>
  <c r="F732" i="31" s="1"/>
  <c r="F742" i="31"/>
  <c r="F741" i="31" s="1"/>
  <c r="F740" i="31" s="1"/>
  <c r="F739" i="31" s="1"/>
  <c r="F738" i="31" s="1"/>
  <c r="F746" i="31"/>
  <c r="F748" i="31"/>
  <c r="F754" i="31"/>
  <c r="F753" i="31" s="1"/>
  <c r="F752" i="31" s="1"/>
  <c r="F751" i="31" s="1"/>
  <c r="F759" i="31"/>
  <c r="F761" i="31"/>
  <c r="F766" i="31"/>
  <c r="F765" i="31" s="1"/>
  <c r="F764" i="31" s="1"/>
  <c r="F770" i="31"/>
  <c r="F772" i="31"/>
  <c r="F778" i="31"/>
  <c r="F777" i="31" s="1"/>
  <c r="F776" i="31" s="1"/>
  <c r="F775" i="31" s="1"/>
  <c r="F783" i="31"/>
  <c r="F785" i="31"/>
  <c r="F923" i="31"/>
  <c r="G791" i="31"/>
  <c r="G790" i="31" s="1"/>
  <c r="G789" i="31" s="1"/>
  <c r="G788" i="31" s="1"/>
  <c r="G796" i="31"/>
  <c r="G798" i="31"/>
  <c r="G800" i="31"/>
  <c r="G805" i="31"/>
  <c r="G807" i="31"/>
  <c r="G809" i="31"/>
  <c r="G814" i="31"/>
  <c r="G813" i="31" s="1"/>
  <c r="G812" i="31" s="1"/>
  <c r="G811" i="31" s="1"/>
  <c r="G824" i="31"/>
  <c r="G823" i="31" s="1"/>
  <c r="G822" i="31" s="1"/>
  <c r="G821" i="31" s="1"/>
  <c r="G829" i="31"/>
  <c r="G828" i="31" s="1"/>
  <c r="G827" i="31" s="1"/>
  <c r="G826" i="31" s="1"/>
  <c r="G834" i="31"/>
  <c r="G833" i="31" s="1"/>
  <c r="G832" i="31" s="1"/>
  <c r="G831" i="31" s="1"/>
  <c r="G839" i="31"/>
  <c r="G838" i="31" s="1"/>
  <c r="G837" i="31" s="1"/>
  <c r="G836" i="31" s="1"/>
  <c r="G844" i="31"/>
  <c r="G843" i="31" s="1"/>
  <c r="G842" i="31" s="1"/>
  <c r="G841" i="31" s="1"/>
  <c r="G849" i="31"/>
  <c r="G848" i="31" s="1"/>
  <c r="G847" i="31" s="1"/>
  <c r="G846" i="31" s="1"/>
  <c r="G854" i="31"/>
  <c r="G856" i="31"/>
  <c r="G858" i="31"/>
  <c r="G863" i="31"/>
  <c r="G862" i="31" s="1"/>
  <c r="G861" i="31" s="1"/>
  <c r="G860" i="31" s="1"/>
  <c r="G869" i="31"/>
  <c r="G871" i="31"/>
  <c r="G873" i="31"/>
  <c r="G878" i="31"/>
  <c r="G877" i="31" s="1"/>
  <c r="G876" i="31" s="1"/>
  <c r="G875" i="31" s="1"/>
  <c r="G883" i="31"/>
  <c r="G882" i="31" s="1"/>
  <c r="G881" i="31" s="1"/>
  <c r="G880" i="31" s="1"/>
  <c r="G888" i="31"/>
  <c r="G887" i="31" s="1"/>
  <c r="G886" i="31" s="1"/>
  <c r="G885" i="31" s="1"/>
  <c r="G893" i="31"/>
  <c r="G892" i="31" s="1"/>
  <c r="G891" i="31" s="1"/>
  <c r="G890" i="31" s="1"/>
  <c r="G898" i="31"/>
  <c r="G897" i="31" s="1"/>
  <c r="G896" i="31" s="1"/>
  <c r="G895" i="31" s="1"/>
  <c r="G904" i="31"/>
  <c r="G903" i="31" s="1"/>
  <c r="G902" i="31" s="1"/>
  <c r="G901" i="31" s="1"/>
  <c r="G900" i="31" s="1"/>
  <c r="G910" i="31"/>
  <c r="G909" i="31" s="1"/>
  <c r="G908" i="31" s="1"/>
  <c r="G907" i="31" s="1"/>
  <c r="G906" i="31" s="1"/>
  <c r="G916" i="31"/>
  <c r="G915" i="31" s="1"/>
  <c r="G914" i="31" s="1"/>
  <c r="G913" i="31" s="1"/>
  <c r="G912" i="31" s="1"/>
  <c r="G921" i="31"/>
  <c r="G920" i="31" s="1"/>
  <c r="G919" i="31" s="1"/>
  <c r="G918" i="31" s="1"/>
  <c r="G819" i="31"/>
  <c r="G818" i="31" s="1"/>
  <c r="G817" i="31" s="1"/>
  <c r="G816" i="31" s="1"/>
  <c r="G40" i="31"/>
  <c r="G104" i="30"/>
  <c r="G103" i="30" s="1"/>
  <c r="G102" i="30" s="1"/>
  <c r="F104" i="30"/>
  <c r="F103" i="30" s="1"/>
  <c r="F102" i="30" s="1"/>
  <c r="H83" i="29"/>
  <c r="G83" i="29"/>
  <c r="G82" i="29" s="1"/>
  <c r="G45" i="31"/>
  <c r="G44" i="31" s="1"/>
  <c r="G43" i="31" s="1"/>
  <c r="G42" i="31" s="1"/>
  <c r="G41" i="31" s="1"/>
  <c r="G107" i="30"/>
  <c r="G106" i="30" s="1"/>
  <c r="G105" i="30" s="1"/>
  <c r="F107" i="30"/>
  <c r="F106" i="30" s="1"/>
  <c r="F105" i="30" s="1"/>
  <c r="H86" i="29"/>
  <c r="G86" i="29"/>
  <c r="G305" i="31"/>
  <c r="G116" i="31"/>
  <c r="G115" i="31" s="1"/>
  <c r="G114" i="31" s="1"/>
  <c r="G113" i="31" s="1"/>
  <c r="G111" i="31"/>
  <c r="G110" i="31" s="1"/>
  <c r="G109" i="31" s="1"/>
  <c r="G108" i="31" s="1"/>
  <c r="G107" i="31" s="1"/>
  <c r="G490" i="30"/>
  <c r="F490" i="30"/>
  <c r="G147" i="30"/>
  <c r="G146" i="30" s="1"/>
  <c r="F147" i="30"/>
  <c r="F146" i="30" s="1"/>
  <c r="F150" i="30"/>
  <c r="F149" i="30" s="1"/>
  <c r="H744" i="29"/>
  <c r="G744" i="29"/>
  <c r="H126" i="29"/>
  <c r="H125" i="29" s="1"/>
  <c r="G126" i="29"/>
  <c r="G330" i="31"/>
  <c r="G28" i="31"/>
  <c r="G27" i="31" s="1"/>
  <c r="G26" i="31" s="1"/>
  <c r="G25" i="31" s="1"/>
  <c r="G33" i="31"/>
  <c r="G32" i="31" s="1"/>
  <c r="G31" i="31" s="1"/>
  <c r="G30" i="31" s="1"/>
  <c r="G39" i="31"/>
  <c r="G38" i="31" s="1"/>
  <c r="G37" i="31" s="1"/>
  <c r="G36" i="31" s="1"/>
  <c r="G49" i="31"/>
  <c r="G48" i="31"/>
  <c r="G47" i="31" s="1"/>
  <c r="G46" i="31" s="1"/>
  <c r="G54" i="31"/>
  <c r="G53" i="31" s="1"/>
  <c r="G52" i="31" s="1"/>
  <c r="G51" i="31" s="1"/>
  <c r="G59" i="31"/>
  <c r="G58" i="31" s="1"/>
  <c r="G57" i="31" s="1"/>
  <c r="G56" i="31" s="1"/>
  <c r="G64" i="31"/>
  <c r="G63" i="31" s="1"/>
  <c r="G62" i="31" s="1"/>
  <c r="G61" i="31" s="1"/>
  <c r="G69" i="31"/>
  <c r="G68" i="31" s="1"/>
  <c r="G67" i="31" s="1"/>
  <c r="G66" i="31" s="1"/>
  <c r="G74" i="31"/>
  <c r="G73" i="31" s="1"/>
  <c r="G72" i="31" s="1"/>
  <c r="G71" i="31" s="1"/>
  <c r="G79" i="31"/>
  <c r="G78" i="31" s="1"/>
  <c r="G77" i="31" s="1"/>
  <c r="G76" i="31" s="1"/>
  <c r="G85" i="31"/>
  <c r="G84" i="31" s="1"/>
  <c r="G83" i="31" s="1"/>
  <c r="G82" i="31" s="1"/>
  <c r="G90" i="31"/>
  <c r="G89" i="31" s="1"/>
  <c r="G88" i="31" s="1"/>
  <c r="G87" i="31" s="1"/>
  <c r="G95" i="31"/>
  <c r="G94" i="31" s="1"/>
  <c r="G93" i="31" s="1"/>
  <c r="G92" i="31" s="1"/>
  <c r="G100" i="31"/>
  <c r="G99" i="31" s="1"/>
  <c r="G98" i="31" s="1"/>
  <c r="G97" i="31" s="1"/>
  <c r="G105" i="31"/>
  <c r="G104" i="31" s="1"/>
  <c r="G103" i="31" s="1"/>
  <c r="G102" i="31" s="1"/>
  <c r="G96" i="30"/>
  <c r="G95" i="30" s="1"/>
  <c r="G99" i="30"/>
  <c r="G98" i="30" s="1"/>
  <c r="G109" i="30"/>
  <c r="G108" i="30" s="1"/>
  <c r="G112" i="30"/>
  <c r="G111" i="30" s="1"/>
  <c r="G115" i="30"/>
  <c r="G114" i="30" s="1"/>
  <c r="G118" i="30"/>
  <c r="G117" i="30" s="1"/>
  <c r="G121" i="30"/>
  <c r="G120" i="30" s="1"/>
  <c r="G124" i="30"/>
  <c r="G123" i="30" s="1"/>
  <c r="G127" i="30"/>
  <c r="G126" i="30" s="1"/>
  <c r="G131" i="30"/>
  <c r="G130" i="30" s="1"/>
  <c r="G134" i="30"/>
  <c r="G133" i="30" s="1"/>
  <c r="G137" i="30"/>
  <c r="G136" i="30" s="1"/>
  <c r="G140" i="30"/>
  <c r="G139" i="30" s="1"/>
  <c r="G143" i="30"/>
  <c r="G142" i="30" s="1"/>
  <c r="F96" i="30"/>
  <c r="F95" i="30" s="1"/>
  <c r="F99" i="30"/>
  <c r="F98" i="30" s="1"/>
  <c r="F109" i="30"/>
  <c r="F108" i="30" s="1"/>
  <c r="F112" i="30"/>
  <c r="F111" i="30" s="1"/>
  <c r="F115" i="30"/>
  <c r="F114" i="30" s="1"/>
  <c r="F118" i="30"/>
  <c r="F117" i="30" s="1"/>
  <c r="F121" i="30"/>
  <c r="F120" i="30" s="1"/>
  <c r="F124" i="30"/>
  <c r="F123" i="30" s="1"/>
  <c r="F127" i="30"/>
  <c r="F126" i="30" s="1"/>
  <c r="F131" i="30"/>
  <c r="F130" i="30" s="1"/>
  <c r="F134" i="30"/>
  <c r="F133" i="30" s="1"/>
  <c r="F137" i="30"/>
  <c r="F136" i="30" s="1"/>
  <c r="F140" i="30"/>
  <c r="F139" i="30" s="1"/>
  <c r="F143" i="30"/>
  <c r="F142" i="30" s="1"/>
  <c r="G552" i="30"/>
  <c r="F552" i="30"/>
  <c r="H772" i="29"/>
  <c r="G772" i="29"/>
  <c r="H78" i="29"/>
  <c r="H77" i="29" s="1"/>
  <c r="H75" i="29"/>
  <c r="H74" i="29" s="1"/>
  <c r="H82" i="29"/>
  <c r="H81" i="29" s="1"/>
  <c r="H85" i="29"/>
  <c r="H84" i="29" s="1"/>
  <c r="H88" i="29"/>
  <c r="H87" i="29" s="1"/>
  <c r="H91" i="29"/>
  <c r="H90" i="29" s="1"/>
  <c r="H94" i="29"/>
  <c r="H93" i="29" s="1"/>
  <c r="H97" i="29"/>
  <c r="H96" i="29" s="1"/>
  <c r="H100" i="29"/>
  <c r="H99" i="29" s="1"/>
  <c r="H103" i="29"/>
  <c r="H102" i="29" s="1"/>
  <c r="H106" i="29"/>
  <c r="H105" i="29" s="1"/>
  <c r="H110" i="29"/>
  <c r="H109" i="29" s="1"/>
  <c r="H113" i="29"/>
  <c r="H112" i="29" s="1"/>
  <c r="H116" i="29"/>
  <c r="H115" i="29" s="1"/>
  <c r="H119" i="29"/>
  <c r="H118" i="29" s="1"/>
  <c r="H122" i="29"/>
  <c r="H121" i="29" s="1"/>
  <c r="G78" i="29"/>
  <c r="G75" i="29"/>
  <c r="G88" i="29"/>
  <c r="G91" i="29"/>
  <c r="G94" i="29"/>
  <c r="G97" i="29"/>
  <c r="G100" i="29"/>
  <c r="G103" i="29"/>
  <c r="G106" i="29"/>
  <c r="G110" i="29"/>
  <c r="G113" i="29"/>
  <c r="G116" i="29"/>
  <c r="G119" i="29"/>
  <c r="G122" i="29"/>
  <c r="F419" i="30"/>
  <c r="F418" i="30" s="1"/>
  <c r="F417" i="30" s="1"/>
  <c r="F416" i="30"/>
  <c r="F415" i="30" s="1"/>
  <c r="F414" i="30" s="1"/>
  <c r="G538" i="29"/>
  <c r="G537" i="29" s="1"/>
  <c r="G535" i="29"/>
  <c r="G808" i="29"/>
  <c r="G812" i="29"/>
  <c r="G818" i="29"/>
  <c r="G524" i="31"/>
  <c r="G523" i="31" s="1"/>
  <c r="G522" i="31" s="1"/>
  <c r="G521" i="31" s="1"/>
  <c r="G520" i="31" s="1"/>
  <c r="G192" i="31"/>
  <c r="G191" i="31" s="1"/>
  <c r="G190" i="31" s="1"/>
  <c r="G189" i="31" s="1"/>
  <c r="G197" i="31"/>
  <c r="G199" i="31"/>
  <c r="G204" i="31"/>
  <c r="G203" i="31" s="1"/>
  <c r="G202" i="31" s="1"/>
  <c r="G201" i="31" s="1"/>
  <c r="G209" i="31"/>
  <c r="G208" i="31" s="1"/>
  <c r="G207" i="31" s="1"/>
  <c r="G206" i="31" s="1"/>
  <c r="G214" i="31"/>
  <c r="G213" i="31" s="1"/>
  <c r="G212" i="31" s="1"/>
  <c r="G211" i="31" s="1"/>
  <c r="G219" i="31"/>
  <c r="G218" i="31" s="1"/>
  <c r="G217" i="31" s="1"/>
  <c r="G216" i="31" s="1"/>
  <c r="G224" i="31"/>
  <c r="G223" i="31" s="1"/>
  <c r="G222" i="31" s="1"/>
  <c r="G221" i="31" s="1"/>
  <c r="G229" i="31"/>
  <c r="G228" i="31" s="1"/>
  <c r="G227" i="31" s="1"/>
  <c r="G226" i="31" s="1"/>
  <c r="G234" i="31"/>
  <c r="G233" i="31" s="1"/>
  <c r="G232" i="31" s="1"/>
  <c r="G231" i="31" s="1"/>
  <c r="G239" i="31"/>
  <c r="G241" i="31"/>
  <c r="G243" i="31"/>
  <c r="G248" i="31"/>
  <c r="G247" i="31" s="1"/>
  <c r="G246" i="31" s="1"/>
  <c r="G245" i="31" s="1"/>
  <c r="G253" i="31"/>
  <c r="G252" i="31" s="1"/>
  <c r="G251" i="31" s="1"/>
  <c r="G250" i="31" s="1"/>
  <c r="G128" i="31"/>
  <c r="G127" i="31" s="1"/>
  <c r="G126" i="31" s="1"/>
  <c r="G133" i="31"/>
  <c r="G132" i="31" s="1"/>
  <c r="G131" i="31" s="1"/>
  <c r="G689" i="30"/>
  <c r="G688" i="30" s="1"/>
  <c r="G687" i="30" s="1"/>
  <c r="G686" i="30" s="1"/>
  <c r="G685" i="30" s="1"/>
  <c r="G699" i="30"/>
  <c r="G701" i="30"/>
  <c r="F689" i="30"/>
  <c r="F688" i="30" s="1"/>
  <c r="F687" i="30" s="1"/>
  <c r="F686" i="30" s="1"/>
  <c r="F685" i="30" s="1"/>
  <c r="F699" i="30"/>
  <c r="F701" i="30"/>
  <c r="G585" i="30"/>
  <c r="G584" i="30" s="1"/>
  <c r="G588" i="30"/>
  <c r="G587" i="30" s="1"/>
  <c r="G583" i="30" s="1"/>
  <c r="F585" i="30"/>
  <c r="F584" i="30" s="1"/>
  <c r="F588" i="30"/>
  <c r="F587" i="30" s="1"/>
  <c r="G415" i="30"/>
  <c r="G414" i="30" s="1"/>
  <c r="G418" i="30"/>
  <c r="G417" i="30" s="1"/>
  <c r="G421" i="30"/>
  <c r="G420" i="30" s="1"/>
  <c r="F421" i="30"/>
  <c r="F420" i="30" s="1"/>
  <c r="G376" i="30"/>
  <c r="G375" i="30" s="1"/>
  <c r="G379" i="30"/>
  <c r="G378" i="30" s="1"/>
  <c r="G382" i="30"/>
  <c r="G381" i="30" s="1"/>
  <c r="G385" i="30"/>
  <c r="G384" i="30" s="1"/>
  <c r="G388" i="30"/>
  <c r="G387" i="30" s="1"/>
  <c r="G391" i="30"/>
  <c r="G390" i="30" s="1"/>
  <c r="G394" i="30"/>
  <c r="G393" i="30" s="1"/>
  <c r="G398" i="30"/>
  <c r="G397" i="30" s="1"/>
  <c r="G396" i="30" s="1"/>
  <c r="G400" i="30"/>
  <c r="G399" i="30" s="1"/>
  <c r="F376" i="30"/>
  <c r="F375" i="30" s="1"/>
  <c r="F379" i="30"/>
  <c r="F378" i="30" s="1"/>
  <c r="F382" i="30"/>
  <c r="F381" i="30" s="1"/>
  <c r="F385" i="30"/>
  <c r="F384" i="30" s="1"/>
  <c r="F388" i="30"/>
  <c r="F387" i="30" s="1"/>
  <c r="F391" i="30"/>
  <c r="F390" i="30" s="1"/>
  <c r="F394" i="30"/>
  <c r="F393" i="30" s="1"/>
  <c r="F398" i="30"/>
  <c r="F397" i="30"/>
  <c r="F396" i="30" s="1"/>
  <c r="F400" i="30"/>
  <c r="F399" i="30" s="1"/>
  <c r="G371" i="30"/>
  <c r="G370" i="30" s="1"/>
  <c r="G369" i="30" s="1"/>
  <c r="F371" i="30"/>
  <c r="F370" i="30" s="1"/>
  <c r="F369" i="30" s="1"/>
  <c r="G360" i="30"/>
  <c r="G359" i="30" s="1"/>
  <c r="G358" i="30" s="1"/>
  <c r="F360" i="30"/>
  <c r="F359" i="30" s="1"/>
  <c r="F358" i="30" s="1"/>
  <c r="G289" i="30"/>
  <c r="G288" i="30" s="1"/>
  <c r="G292" i="30"/>
  <c r="G291" i="30" s="1"/>
  <c r="F289" i="30"/>
  <c r="F288" i="30" s="1"/>
  <c r="F292" i="30"/>
  <c r="F291" i="30" s="1"/>
  <c r="G161" i="30"/>
  <c r="G160" i="30" s="1"/>
  <c r="G163" i="30"/>
  <c r="G162" i="30"/>
  <c r="G164" i="30"/>
  <c r="G168" i="30"/>
  <c r="G167" i="30" s="1"/>
  <c r="G170" i="30"/>
  <c r="G169" i="30" s="1"/>
  <c r="G171" i="30"/>
  <c r="G174" i="30"/>
  <c r="G173" i="30" s="1"/>
  <c r="G181" i="30"/>
  <c r="G182" i="30"/>
  <c r="G177" i="30"/>
  <c r="G176" i="30" s="1"/>
  <c r="F161" i="30"/>
  <c r="F160" i="30" s="1"/>
  <c r="F163" i="30"/>
  <c r="F162" i="30" s="1"/>
  <c r="F164" i="30"/>
  <c r="F168" i="30"/>
  <c r="F167" i="30" s="1"/>
  <c r="F170" i="30"/>
  <c r="F169" i="30"/>
  <c r="F171" i="30"/>
  <c r="F174" i="30"/>
  <c r="F173" i="30" s="1"/>
  <c r="F181" i="30"/>
  <c r="F182" i="30"/>
  <c r="F180" i="30" s="1"/>
  <c r="F179" i="30" s="1"/>
  <c r="F177" i="30"/>
  <c r="F176" i="30" s="1"/>
  <c r="G29" i="30"/>
  <c r="G28" i="30" s="1"/>
  <c r="G27" i="30" s="1"/>
  <c r="G26" i="30" s="1"/>
  <c r="G25" i="30" s="1"/>
  <c r="G24" i="30" s="1"/>
  <c r="G36" i="30"/>
  <c r="G35" i="30"/>
  <c r="G34" i="30" s="1"/>
  <c r="G33" i="30" s="1"/>
  <c r="G32" i="30" s="1"/>
  <c r="G38" i="30"/>
  <c r="G40" i="30"/>
  <c r="G47" i="30"/>
  <c r="G46" i="30" s="1"/>
  <c r="G45" i="30" s="1"/>
  <c r="G44" i="30" s="1"/>
  <c r="G43" i="30" s="1"/>
  <c r="G53" i="30"/>
  <c r="G52" i="30" s="1"/>
  <c r="G51" i="30" s="1"/>
  <c r="G56" i="30"/>
  <c r="G55" i="30" s="1"/>
  <c r="G58" i="30"/>
  <c r="G57" i="30" s="1"/>
  <c r="G63" i="30"/>
  <c r="G62" i="30" s="1"/>
  <c r="G61" i="30" s="1"/>
  <c r="G60" i="30" s="1"/>
  <c r="G59" i="30" s="1"/>
  <c r="G70" i="30"/>
  <c r="G69" i="30" s="1"/>
  <c r="G68" i="30" s="1"/>
  <c r="G72" i="30"/>
  <c r="G74" i="30"/>
  <c r="G80" i="30"/>
  <c r="G79" i="30" s="1"/>
  <c r="G78" i="30" s="1"/>
  <c r="G82" i="30"/>
  <c r="G84" i="30"/>
  <c r="G90" i="30"/>
  <c r="G89" i="30" s="1"/>
  <c r="G88" i="30" s="1"/>
  <c r="G87" i="30" s="1"/>
  <c r="G86" i="30" s="1"/>
  <c r="G154" i="30"/>
  <c r="G153" i="30" s="1"/>
  <c r="G152" i="30" s="1"/>
  <c r="F29" i="30"/>
  <c r="F28" i="30" s="1"/>
  <c r="F27" i="30" s="1"/>
  <c r="F26" i="30" s="1"/>
  <c r="F25" i="30" s="1"/>
  <c r="F24" i="30" s="1"/>
  <c r="F36" i="30"/>
  <c r="F35" i="30" s="1"/>
  <c r="F34" i="30" s="1"/>
  <c r="F33" i="30" s="1"/>
  <c r="F32" i="30" s="1"/>
  <c r="F38" i="30"/>
  <c r="F40" i="30"/>
  <c r="F47" i="30"/>
  <c r="F46" i="30" s="1"/>
  <c r="F45" i="30" s="1"/>
  <c r="F44" i="30" s="1"/>
  <c r="F43" i="30" s="1"/>
  <c r="F53" i="30"/>
  <c r="F52" i="30" s="1"/>
  <c r="F51" i="30" s="1"/>
  <c r="F56" i="30"/>
  <c r="F55" i="30" s="1"/>
  <c r="F58" i="30"/>
  <c r="F57" i="30" s="1"/>
  <c r="F63" i="30"/>
  <c r="F62" i="30" s="1"/>
  <c r="F61" i="30" s="1"/>
  <c r="F60" i="30" s="1"/>
  <c r="F59" i="30" s="1"/>
  <c r="F70" i="30"/>
  <c r="F69" i="30" s="1"/>
  <c r="F68" i="30" s="1"/>
  <c r="F72" i="30"/>
  <c r="F74" i="30"/>
  <c r="F80" i="30"/>
  <c r="F79" i="30" s="1"/>
  <c r="F78" i="30" s="1"/>
  <c r="F82" i="30"/>
  <c r="F84" i="30"/>
  <c r="F90" i="30"/>
  <c r="F89" i="30" s="1"/>
  <c r="F88" i="30" s="1"/>
  <c r="F87" i="30" s="1"/>
  <c r="F86" i="30" s="1"/>
  <c r="F154" i="30"/>
  <c r="F153" i="30" s="1"/>
  <c r="F152" i="30" s="1"/>
  <c r="H508" i="29"/>
  <c r="H507" i="29" s="1"/>
  <c r="H511" i="29"/>
  <c r="H510" i="29" s="1"/>
  <c r="H529" i="29"/>
  <c r="H528" i="29" s="1"/>
  <c r="H527" i="29" s="1"/>
  <c r="H526" i="29" s="1"/>
  <c r="H525" i="29" s="1"/>
  <c r="H535" i="29"/>
  <c r="H534" i="29" s="1"/>
  <c r="H533" i="29" s="1"/>
  <c r="H537" i="29"/>
  <c r="H536" i="29" s="1"/>
  <c r="H540" i="29"/>
  <c r="H539" i="29" s="1"/>
  <c r="H548" i="29"/>
  <c r="H547" i="29" s="1"/>
  <c r="H546" i="29" s="1"/>
  <c r="H550" i="29"/>
  <c r="H552" i="29"/>
  <c r="H559" i="29"/>
  <c r="H558" i="29" s="1"/>
  <c r="H557" i="29" s="1"/>
  <c r="H561" i="29"/>
  <c r="H560" i="29" s="1"/>
  <c r="G511" i="29"/>
  <c r="G529" i="29"/>
  <c r="G534" i="29"/>
  <c r="G540" i="29"/>
  <c r="G548" i="29"/>
  <c r="G550" i="29"/>
  <c r="G552" i="29"/>
  <c r="G558" i="29"/>
  <c r="G561" i="29"/>
  <c r="H459" i="29"/>
  <c r="H458" i="29" s="1"/>
  <c r="H457" i="29" s="1"/>
  <c r="H462" i="29"/>
  <c r="H461" i="29" s="1"/>
  <c r="H460" i="29" s="1"/>
  <c r="H465" i="29"/>
  <c r="H464" i="29" s="1"/>
  <c r="H463" i="29" s="1"/>
  <c r="H468" i="29"/>
  <c r="H467" i="29" s="1"/>
  <c r="H466" i="29" s="1"/>
  <c r="H470" i="29"/>
  <c r="H469" i="29" s="1"/>
  <c r="H474" i="29"/>
  <c r="H473" i="29" s="1"/>
  <c r="H472" i="29" s="1"/>
  <c r="H476" i="29"/>
  <c r="H475" i="29" s="1"/>
  <c r="H480" i="29"/>
  <c r="H479" i="29" s="1"/>
  <c r="H478" i="29" s="1"/>
  <c r="H483" i="29"/>
  <c r="H482" i="29" s="1"/>
  <c r="H481" i="29" s="1"/>
  <c r="G459" i="29"/>
  <c r="G462" i="29"/>
  <c r="G465" i="29"/>
  <c r="G468" i="29"/>
  <c r="G470" i="29"/>
  <c r="G474" i="29"/>
  <c r="G476" i="29"/>
  <c r="G480" i="29"/>
  <c r="G483" i="29"/>
  <c r="G482" i="29" s="1"/>
  <c r="H53" i="29"/>
  <c r="H52" i="29" s="1"/>
  <c r="H55" i="29"/>
  <c r="H54" i="29" s="1"/>
  <c r="H56" i="29"/>
  <c r="H60" i="29"/>
  <c r="H59" i="29" s="1"/>
  <c r="H62" i="29"/>
  <c r="H61" i="29" s="1"/>
  <c r="H63" i="29"/>
  <c r="H66" i="29"/>
  <c r="H65" i="29" s="1"/>
  <c r="H69" i="29"/>
  <c r="H68" i="29" s="1"/>
  <c r="G53" i="29"/>
  <c r="G55" i="29"/>
  <c r="G56" i="29"/>
  <c r="G60" i="29"/>
  <c r="G62" i="29"/>
  <c r="G63" i="29"/>
  <c r="G66" i="29"/>
  <c r="G69" i="29"/>
  <c r="H28" i="29"/>
  <c r="H27" i="29" s="1"/>
  <c r="H26" i="29" s="1"/>
  <c r="H25" i="29" s="1"/>
  <c r="H24" i="29" s="1"/>
  <c r="H35" i="29"/>
  <c r="H34" i="29" s="1"/>
  <c r="H33" i="29" s="1"/>
  <c r="H38" i="29"/>
  <c r="H37" i="29" s="1"/>
  <c r="H39" i="29"/>
  <c r="H45" i="29"/>
  <c r="H44" i="29" s="1"/>
  <c r="H43" i="29" s="1"/>
  <c r="H42" i="29" s="1"/>
  <c r="H41" i="29" s="1"/>
  <c r="H133" i="29"/>
  <c r="H132" i="29" s="1"/>
  <c r="H131" i="29" s="1"/>
  <c r="G28" i="29"/>
  <c r="G35" i="29"/>
  <c r="G38" i="29"/>
  <c r="G39" i="29"/>
  <c r="G45" i="29"/>
  <c r="G133" i="29"/>
  <c r="G122" i="31"/>
  <c r="G121" i="31" s="1"/>
  <c r="G120" i="31" s="1"/>
  <c r="G119" i="31" s="1"/>
  <c r="G118" i="31" s="1"/>
  <c r="G142" i="31"/>
  <c r="G141" i="31" s="1"/>
  <c r="G140" i="31" s="1"/>
  <c r="G139" i="31" s="1"/>
  <c r="G147" i="31"/>
  <c r="G146" i="31" s="1"/>
  <c r="G145" i="31" s="1"/>
  <c r="G144" i="31" s="1"/>
  <c r="G175" i="31"/>
  <c r="G177" i="31"/>
  <c r="G179" i="31"/>
  <c r="G184" i="31"/>
  <c r="G183" i="31" s="1"/>
  <c r="G182" i="31" s="1"/>
  <c r="G181" i="31" s="1"/>
  <c r="G259" i="31"/>
  <c r="G258" i="31" s="1"/>
  <c r="G257" i="31" s="1"/>
  <c r="G256" i="31" s="1"/>
  <c r="G264" i="31"/>
  <c r="G263" i="31" s="1"/>
  <c r="G262" i="31" s="1"/>
  <c r="G261" i="31" s="1"/>
  <c r="G269" i="31"/>
  <c r="G268" i="31" s="1"/>
  <c r="G267" i="31" s="1"/>
  <c r="G266" i="31" s="1"/>
  <c r="G274" i="31"/>
  <c r="G273" i="31" s="1"/>
  <c r="G272" i="31" s="1"/>
  <c r="G271" i="31" s="1"/>
  <c r="G279" i="31"/>
  <c r="G278" i="31" s="1"/>
  <c r="G277" i="31" s="1"/>
  <c r="G276" i="31" s="1"/>
  <c r="G285" i="31"/>
  <c r="G284" i="31" s="1"/>
  <c r="G283" i="31" s="1"/>
  <c r="G282" i="31" s="1"/>
  <c r="G281" i="31" s="1"/>
  <c r="G292" i="31"/>
  <c r="G291" i="31" s="1"/>
  <c r="G290" i="31" s="1"/>
  <c r="G289" i="31" s="1"/>
  <c r="G298" i="31"/>
  <c r="G297" i="31" s="1"/>
  <c r="G296" i="31" s="1"/>
  <c r="G295" i="31" s="1"/>
  <c r="G304" i="31"/>
  <c r="G303" i="31" s="1"/>
  <c r="G302" i="31" s="1"/>
  <c r="G301" i="31" s="1"/>
  <c r="G310" i="31"/>
  <c r="G309" i="31" s="1"/>
  <c r="G308" i="31" s="1"/>
  <c r="G307" i="31" s="1"/>
  <c r="G316" i="31"/>
  <c r="G315" i="31" s="1"/>
  <c r="G314" i="31" s="1"/>
  <c r="G313" i="31" s="1"/>
  <c r="G322" i="31"/>
  <c r="G321" i="31" s="1"/>
  <c r="G320" i="31" s="1"/>
  <c r="G319" i="31" s="1"/>
  <c r="G328" i="31"/>
  <c r="G327" i="31" s="1"/>
  <c r="G326" i="31" s="1"/>
  <c r="G325" i="31" s="1"/>
  <c r="G337" i="31"/>
  <c r="G336" i="31" s="1"/>
  <c r="G338" i="31"/>
  <c r="G340" i="31"/>
  <c r="G345" i="31"/>
  <c r="G347" i="31"/>
  <c r="G352" i="31"/>
  <c r="G354" i="31"/>
  <c r="G360" i="31"/>
  <c r="G359" i="31" s="1"/>
  <c r="G358" i="31" s="1"/>
  <c r="G357" i="31" s="1"/>
  <c r="G366" i="31"/>
  <c r="G365" i="31" s="1"/>
  <c r="G364" i="31" s="1"/>
  <c r="G363" i="31" s="1"/>
  <c r="G371" i="31"/>
  <c r="G370" i="31" s="1"/>
  <c r="G369" i="31" s="1"/>
  <c r="G368" i="31" s="1"/>
  <c r="G377" i="31"/>
  <c r="G376" i="31" s="1"/>
  <c r="G375" i="31" s="1"/>
  <c r="G374" i="31" s="1"/>
  <c r="G386" i="31"/>
  <c r="G385" i="31" s="1"/>
  <c r="G384" i="31" s="1"/>
  <c r="G383" i="31" s="1"/>
  <c r="G382" i="31" s="1"/>
  <c r="G390" i="31"/>
  <c r="G392" i="31"/>
  <c r="G399" i="31"/>
  <c r="G398" i="31" s="1"/>
  <c r="G397" i="31" s="1"/>
  <c r="G396" i="31" s="1"/>
  <c r="G404" i="31"/>
  <c r="G403" i="31" s="1"/>
  <c r="G402" i="31" s="1"/>
  <c r="G401" i="31" s="1"/>
  <c r="G409" i="31"/>
  <c r="G408" i="31" s="1"/>
  <c r="G407" i="31" s="1"/>
  <c r="G406" i="31" s="1"/>
  <c r="G414" i="31"/>
  <c r="G413" i="31" s="1"/>
  <c r="G412" i="31" s="1"/>
  <c r="G411" i="31" s="1"/>
  <c r="G419" i="31"/>
  <c r="G418" i="31" s="1"/>
  <c r="G417" i="31" s="1"/>
  <c r="G416" i="31" s="1"/>
  <c r="G424" i="31"/>
  <c r="G423" i="31" s="1"/>
  <c r="G422" i="31" s="1"/>
  <c r="G421" i="31" s="1"/>
  <c r="G429" i="31"/>
  <c r="G428" i="31" s="1"/>
  <c r="G427" i="31" s="1"/>
  <c r="G426" i="31" s="1"/>
  <c r="G435" i="31"/>
  <c r="G434" i="31" s="1"/>
  <c r="G433" i="31" s="1"/>
  <c r="G432" i="31" s="1"/>
  <c r="G440" i="31"/>
  <c r="G439" i="31" s="1"/>
  <c r="G438" i="31" s="1"/>
  <c r="G437" i="31" s="1"/>
  <c r="G445" i="31"/>
  <c r="G444" i="31" s="1"/>
  <c r="G443" i="31" s="1"/>
  <c r="G442" i="31" s="1"/>
  <c r="G452" i="31"/>
  <c r="G451" i="31" s="1"/>
  <c r="G450" i="31" s="1"/>
  <c r="G449" i="31" s="1"/>
  <c r="G448" i="31" s="1"/>
  <c r="G458" i="31"/>
  <c r="G457" i="31" s="1"/>
  <c r="G456" i="31" s="1"/>
  <c r="G455" i="31" s="1"/>
  <c r="G454" i="31" s="1"/>
  <c r="G464" i="31"/>
  <c r="G463" i="31" s="1"/>
  <c r="G462" i="31" s="1"/>
  <c r="G461" i="31" s="1"/>
  <c r="G460" i="31" s="1"/>
  <c r="G469" i="31"/>
  <c r="G468" i="31" s="1"/>
  <c r="G467" i="31" s="1"/>
  <c r="G466" i="31" s="1"/>
  <c r="G477" i="31"/>
  <c r="G476" i="31"/>
  <c r="G475" i="31" s="1"/>
  <c r="G474" i="31" s="1"/>
  <c r="G482" i="31"/>
  <c r="G484" i="31"/>
  <c r="G491" i="31"/>
  <c r="G490" i="31" s="1"/>
  <c r="G489" i="31" s="1"/>
  <c r="G488" i="31" s="1"/>
  <c r="G496" i="31"/>
  <c r="G495" i="31" s="1"/>
  <c r="G494" i="31" s="1"/>
  <c r="G493" i="31" s="1"/>
  <c r="G502" i="31"/>
  <c r="G501" i="31" s="1"/>
  <c r="G500" i="31" s="1"/>
  <c r="G499" i="31" s="1"/>
  <c r="G498" i="31" s="1"/>
  <c r="G508" i="31"/>
  <c r="G507" i="31" s="1"/>
  <c r="G506" i="31" s="1"/>
  <c r="G505" i="31" s="1"/>
  <c r="G513" i="31"/>
  <c r="G512" i="31" s="1"/>
  <c r="G511" i="31" s="1"/>
  <c r="G510" i="31" s="1"/>
  <c r="G518" i="31"/>
  <c r="G517" i="31" s="1"/>
  <c r="G516" i="31" s="1"/>
  <c r="G515" i="31" s="1"/>
  <c r="G530" i="31"/>
  <c r="G529" i="31" s="1"/>
  <c r="G528" i="31" s="1"/>
  <c r="G527" i="31" s="1"/>
  <c r="G535" i="31"/>
  <c r="G534" i="31" s="1"/>
  <c r="G533" i="31" s="1"/>
  <c r="G532" i="31" s="1"/>
  <c r="G540" i="31"/>
  <c r="G539" i="31" s="1"/>
  <c r="G538" i="31" s="1"/>
  <c r="G537" i="31" s="1"/>
  <c r="G546" i="31"/>
  <c r="G545" i="31" s="1"/>
  <c r="G544" i="31" s="1"/>
  <c r="G543" i="31" s="1"/>
  <c r="G551" i="31"/>
  <c r="G550" i="31" s="1"/>
  <c r="G549" i="31" s="1"/>
  <c r="G548" i="31" s="1"/>
  <c r="G556" i="31"/>
  <c r="G555" i="31" s="1"/>
  <c r="G554" i="31" s="1"/>
  <c r="G553" i="31" s="1"/>
  <c r="G563" i="31"/>
  <c r="G562" i="31" s="1"/>
  <c r="G564" i="31"/>
  <c r="G567" i="31"/>
  <c r="G566" i="31" s="1"/>
  <c r="G571" i="31"/>
  <c r="G570" i="31" s="1"/>
  <c r="G569" i="31" s="1"/>
  <c r="G568" i="31" s="1"/>
  <c r="G576" i="31"/>
  <c r="G575" i="31" s="1"/>
  <c r="G574" i="31" s="1"/>
  <c r="G573" i="31" s="1"/>
  <c r="G581" i="31"/>
  <c r="G580" i="31" s="1"/>
  <c r="G579" i="31" s="1"/>
  <c r="G578" i="31" s="1"/>
  <c r="G589" i="31"/>
  <c r="G588" i="31" s="1"/>
  <c r="G587" i="31" s="1"/>
  <c r="G586" i="31" s="1"/>
  <c r="G585" i="31" s="1"/>
  <c r="G593" i="31"/>
  <c r="G595" i="31"/>
  <c r="G592" i="31" s="1"/>
  <c r="G591" i="31" s="1"/>
  <c r="G590" i="31" s="1"/>
  <c r="G675" i="31"/>
  <c r="G674" i="31" s="1"/>
  <c r="G673" i="31" s="1"/>
  <c r="G672" i="31" s="1"/>
  <c r="G671" i="31" s="1"/>
  <c r="G681" i="31"/>
  <c r="G680" i="31" s="1"/>
  <c r="G679" i="31" s="1"/>
  <c r="G678" i="31" s="1"/>
  <c r="G677" i="31" s="1"/>
  <c r="G688" i="31"/>
  <c r="G687" i="31" s="1"/>
  <c r="G686" i="31" s="1"/>
  <c r="G685" i="31" s="1"/>
  <c r="G684" i="31" s="1"/>
  <c r="G683" i="31" s="1"/>
  <c r="G696" i="31"/>
  <c r="G695" i="31" s="1"/>
  <c r="G694" i="31" s="1"/>
  <c r="G693" i="31" s="1"/>
  <c r="G692" i="31" s="1"/>
  <c r="G700" i="31"/>
  <c r="G702" i="31"/>
  <c r="G719" i="31"/>
  <c r="G718" i="31" s="1"/>
  <c r="G717" i="31" s="1"/>
  <c r="G716" i="31" s="1"/>
  <c r="G725" i="31"/>
  <c r="G724" i="31"/>
  <c r="G723" i="31" s="1"/>
  <c r="G722" i="31" s="1"/>
  <c r="G728" i="31"/>
  <c r="G730" i="31"/>
  <c r="G735" i="31"/>
  <c r="G734" i="31" s="1"/>
  <c r="G733" i="31" s="1"/>
  <c r="G732" i="31" s="1"/>
  <c r="G742" i="31"/>
  <c r="G741" i="31" s="1"/>
  <c r="G740" i="31" s="1"/>
  <c r="G739" i="31" s="1"/>
  <c r="G738" i="31" s="1"/>
  <c r="G746" i="31"/>
  <c r="G748" i="31"/>
  <c r="G754" i="31"/>
  <c r="G753" i="31" s="1"/>
  <c r="G752" i="31" s="1"/>
  <c r="G751" i="31" s="1"/>
  <c r="G759" i="31"/>
  <c r="G761" i="31"/>
  <c r="G766" i="31"/>
  <c r="G765" i="31" s="1"/>
  <c r="G764" i="31" s="1"/>
  <c r="G770" i="31"/>
  <c r="G772" i="31"/>
  <c r="G778" i="31"/>
  <c r="G777" i="31" s="1"/>
  <c r="G776" i="31" s="1"/>
  <c r="G775" i="31" s="1"/>
  <c r="G783" i="31"/>
  <c r="G785" i="31"/>
  <c r="G923" i="31"/>
  <c r="H260" i="29"/>
  <c r="H259" i="29" s="1"/>
  <c r="H258" i="29" s="1"/>
  <c r="H262" i="29"/>
  <c r="H264" i="29"/>
  <c r="H270" i="29"/>
  <c r="H269" i="29" s="1"/>
  <c r="H268" i="29" s="1"/>
  <c r="H267" i="29" s="1"/>
  <c r="H266" i="29" s="1"/>
  <c r="H276" i="29"/>
  <c r="H275" i="29" s="1"/>
  <c r="H274" i="29" s="1"/>
  <c r="H273" i="29" s="1"/>
  <c r="H272" i="29" s="1"/>
  <c r="H289" i="29"/>
  <c r="H288" i="29" s="1"/>
  <c r="H287" i="29" s="1"/>
  <c r="H286" i="29" s="1"/>
  <c r="H285" i="29" s="1"/>
  <c r="H284" i="29" s="1"/>
  <c r="H282" i="29"/>
  <c r="H281" i="29" s="1"/>
  <c r="H280" i="29" s="1"/>
  <c r="H279" i="29" s="1"/>
  <c r="H278" i="29" s="1"/>
  <c r="G260" i="29"/>
  <c r="G262" i="29"/>
  <c r="G264" i="29"/>
  <c r="G270" i="29"/>
  <c r="G276" i="29"/>
  <c r="H222" i="29"/>
  <c r="H221" i="29" s="1"/>
  <c r="H220" i="29" s="1"/>
  <c r="H224" i="29"/>
  <c r="H226" i="29"/>
  <c r="H232" i="29"/>
  <c r="H231" i="29" s="1"/>
  <c r="H230" i="29" s="1"/>
  <c r="H229" i="29" s="1"/>
  <c r="H228" i="29" s="1"/>
  <c r="H238" i="29"/>
  <c r="H237" i="29" s="1"/>
  <c r="H236" i="29" s="1"/>
  <c r="H235" i="29" s="1"/>
  <c r="H234" i="29" s="1"/>
  <c r="G222" i="29"/>
  <c r="G224" i="29"/>
  <c r="G226" i="29"/>
  <c r="G232" i="29"/>
  <c r="G238" i="29"/>
  <c r="H251" i="29"/>
  <c r="H250" i="29" s="1"/>
  <c r="H249" i="29" s="1"/>
  <c r="H248" i="29" s="1"/>
  <c r="H247" i="29" s="1"/>
  <c r="H246" i="29" s="1"/>
  <c r="H244" i="29"/>
  <c r="H243" i="29" s="1"/>
  <c r="H242" i="29" s="1"/>
  <c r="H241" i="29" s="1"/>
  <c r="H240" i="29" s="1"/>
  <c r="G205" i="30"/>
  <c r="G204" i="30" s="1"/>
  <c r="G206" i="30"/>
  <c r="G208" i="30"/>
  <c r="G200" i="30"/>
  <c r="G199" i="30" s="1"/>
  <c r="G215" i="30"/>
  <c r="G214" i="30" s="1"/>
  <c r="G216" i="30"/>
  <c r="G218" i="30"/>
  <c r="G225" i="30"/>
  <c r="G224" i="30" s="1"/>
  <c r="G223" i="30" s="1"/>
  <c r="G227" i="30"/>
  <c r="G229" i="30"/>
  <c r="G233" i="30"/>
  <c r="G232" i="30" s="1"/>
  <c r="G236" i="30"/>
  <c r="G235" i="30" s="1"/>
  <c r="G257" i="30"/>
  <c r="G256" i="30" s="1"/>
  <c r="G268" i="30"/>
  <c r="G267" i="30" s="1"/>
  <c r="G271" i="30"/>
  <c r="G270" i="30" s="1"/>
  <c r="G274" i="30"/>
  <c r="G273" i="30" s="1"/>
  <c r="G277" i="30"/>
  <c r="G276" i="30" s="1"/>
  <c r="G280" i="30"/>
  <c r="G279" i="30" s="1"/>
  <c r="G285" i="30"/>
  <c r="G284" i="30" s="1"/>
  <c r="G283" i="30" s="1"/>
  <c r="G282" i="30" s="1"/>
  <c r="G297" i="30"/>
  <c r="G296" i="30" s="1"/>
  <c r="G300" i="30"/>
  <c r="G299" i="30" s="1"/>
  <c r="G303" i="30"/>
  <c r="G302" i="30" s="1"/>
  <c r="G306" i="30"/>
  <c r="G305" i="30" s="1"/>
  <c r="G309" i="30"/>
  <c r="G308" i="30" s="1"/>
  <c r="G316" i="30"/>
  <c r="G315" i="30" s="1"/>
  <c r="G319" i="30"/>
  <c r="G318" i="30" s="1"/>
  <c r="G323" i="30"/>
  <c r="G322" i="30" s="1"/>
  <c r="G326" i="30"/>
  <c r="G325" i="30" s="1"/>
  <c r="G330" i="30"/>
  <c r="G329" i="30" s="1"/>
  <c r="G333" i="30"/>
  <c r="G332" i="30" s="1"/>
  <c r="G350" i="30"/>
  <c r="G349" i="30" s="1"/>
  <c r="G353" i="30"/>
  <c r="G352" i="30" s="1"/>
  <c r="G356" i="30"/>
  <c r="G355" i="30" s="1"/>
  <c r="G363" i="30"/>
  <c r="G362" i="30" s="1"/>
  <c r="G367" i="30"/>
  <c r="G366" i="30" s="1"/>
  <c r="G365" i="30" s="1"/>
  <c r="G405" i="30"/>
  <c r="G404" i="30" s="1"/>
  <c r="G408" i="30"/>
  <c r="G407" i="30" s="1"/>
  <c r="G411" i="30"/>
  <c r="G410" i="30" s="1"/>
  <c r="G436" i="30"/>
  <c r="G435" i="30" s="1"/>
  <c r="G434" i="30" s="1"/>
  <c r="G438" i="30"/>
  <c r="G440" i="30"/>
  <c r="G448" i="30"/>
  <c r="G447" i="30" s="1"/>
  <c r="G446" i="30" s="1"/>
  <c r="G450" i="30"/>
  <c r="G452" i="30"/>
  <c r="G457" i="30"/>
  <c r="G456" i="30" s="1"/>
  <c r="G458" i="30"/>
  <c r="G461" i="30"/>
  <c r="G460" i="30" s="1"/>
  <c r="G467" i="30"/>
  <c r="G466" i="30" s="1"/>
  <c r="G465" i="30" s="1"/>
  <c r="G469" i="30"/>
  <c r="G471" i="30"/>
  <c r="G479" i="30"/>
  <c r="G478" i="30" s="1"/>
  <c r="G477" i="30" s="1"/>
  <c r="G482" i="30"/>
  <c r="G481" i="30" s="1"/>
  <c r="G489" i="30"/>
  <c r="G488" i="30" s="1"/>
  <c r="G493" i="30"/>
  <c r="G492" i="30" s="1"/>
  <c r="G498" i="30"/>
  <c r="G497" i="30" s="1"/>
  <c r="G496" i="30" s="1"/>
  <c r="G505" i="30"/>
  <c r="G504" i="30" s="1"/>
  <c r="G503" i="30" s="1"/>
  <c r="G502" i="30" s="1"/>
  <c r="G512" i="30"/>
  <c r="G511" i="30" s="1"/>
  <c r="G510" i="30" s="1"/>
  <c r="G509" i="30" s="1"/>
  <c r="G508" i="30" s="1"/>
  <c r="G518" i="30"/>
  <c r="G517" i="30" s="1"/>
  <c r="G516" i="30" s="1"/>
  <c r="G515" i="30" s="1"/>
  <c r="G514" i="30" s="1"/>
  <c r="G524" i="30"/>
  <c r="G523" i="30" s="1"/>
  <c r="G527" i="30"/>
  <c r="G526" i="30" s="1"/>
  <c r="G530" i="30"/>
  <c r="G529" i="30" s="1"/>
  <c r="G535" i="30"/>
  <c r="G534" i="30" s="1"/>
  <c r="G533" i="30" s="1"/>
  <c r="G532" i="30" s="1"/>
  <c r="G540" i="30"/>
  <c r="G539" i="30" s="1"/>
  <c r="G538" i="30" s="1"/>
  <c r="G537" i="30" s="1"/>
  <c r="G546" i="30"/>
  <c r="G545" i="30" s="1"/>
  <c r="G557" i="30"/>
  <c r="G556" i="30" s="1"/>
  <c r="G558" i="30"/>
  <c r="G560" i="30"/>
  <c r="G563" i="30"/>
  <c r="G565" i="30"/>
  <c r="G568" i="30"/>
  <c r="G570" i="30"/>
  <c r="G577" i="30"/>
  <c r="G576" i="30" s="1"/>
  <c r="G575" i="30" s="1"/>
  <c r="G579" i="30"/>
  <c r="G581" i="30"/>
  <c r="G596" i="30"/>
  <c r="G595" i="30" s="1"/>
  <c r="G594" i="30" s="1"/>
  <c r="G599" i="30"/>
  <c r="G598" i="30" s="1"/>
  <c r="G603" i="30"/>
  <c r="G602" i="30" s="1"/>
  <c r="G601" i="30" s="1"/>
  <c r="G609" i="30"/>
  <c r="G608" i="30" s="1"/>
  <c r="G612" i="30"/>
  <c r="G611" i="30" s="1"/>
  <c r="G615" i="30"/>
  <c r="G614" i="30" s="1"/>
  <c r="G618" i="30"/>
  <c r="G617" i="30" s="1"/>
  <c r="G621" i="30"/>
  <c r="G620" i="30" s="1"/>
  <c r="G624" i="30"/>
  <c r="G623" i="30" s="1"/>
  <c r="G627" i="30"/>
  <c r="G626" i="30" s="1"/>
  <c r="G633" i="30"/>
  <c r="G632" i="30" s="1"/>
  <c r="G636" i="30"/>
  <c r="G638" i="30"/>
  <c r="G657" i="30"/>
  <c r="G656" i="30" s="1"/>
  <c r="G655" i="30" s="1"/>
  <c r="G654" i="30" s="1"/>
  <c r="G653" i="30" s="1"/>
  <c r="G662" i="30"/>
  <c r="G661" i="30" s="1"/>
  <c r="G660" i="30" s="1"/>
  <c r="G667" i="30"/>
  <c r="G666" i="30" s="1"/>
  <c r="G671" i="30"/>
  <c r="G670" i="30" s="1"/>
  <c r="G676" i="30"/>
  <c r="G675" i="30" s="1"/>
  <c r="G674" i="30" s="1"/>
  <c r="G673" i="30" s="1"/>
  <c r="G682" i="30"/>
  <c r="G681" i="30" s="1"/>
  <c r="G680" i="30" s="1"/>
  <c r="G679" i="30" s="1"/>
  <c r="G678" i="30" s="1"/>
  <c r="G697" i="30"/>
  <c r="G696" i="30" s="1"/>
  <c r="G695" i="30" s="1"/>
  <c r="G694" i="30" s="1"/>
  <c r="G709" i="30"/>
  <c r="G708" i="30" s="1"/>
  <c r="G710" i="30"/>
  <c r="G712" i="30"/>
  <c r="G717" i="30"/>
  <c r="G716" i="30" s="1"/>
  <c r="G715" i="30" s="1"/>
  <c r="G714" i="30" s="1"/>
  <c r="G723" i="30"/>
  <c r="G722" i="30" s="1"/>
  <c r="G721" i="30" s="1"/>
  <c r="G720" i="30" s="1"/>
  <c r="G719" i="30" s="1"/>
  <c r="G725" i="30"/>
  <c r="F205" i="30"/>
  <c r="F204" i="30" s="1"/>
  <c r="F206" i="30"/>
  <c r="F208" i="30"/>
  <c r="F200" i="30"/>
  <c r="F199" i="30" s="1"/>
  <c r="F215" i="30"/>
  <c r="F214" i="30" s="1"/>
  <c r="F216" i="30"/>
  <c r="F218" i="30"/>
  <c r="F225" i="30"/>
  <c r="F224" i="30"/>
  <c r="F223" i="30" s="1"/>
  <c r="F227" i="30"/>
  <c r="F229" i="30"/>
  <c r="F233" i="30"/>
  <c r="F232" i="30" s="1"/>
  <c r="F236" i="30"/>
  <c r="F235" i="30" s="1"/>
  <c r="F257" i="30"/>
  <c r="F256" i="30" s="1"/>
  <c r="F255" i="30" s="1"/>
  <c r="F254" i="30" s="1"/>
  <c r="F268" i="30"/>
  <c r="F267" i="30" s="1"/>
  <c r="F271" i="30"/>
  <c r="F270" i="30" s="1"/>
  <c r="F274" i="30"/>
  <c r="F273" i="30" s="1"/>
  <c r="F277" i="30"/>
  <c r="F276" i="30" s="1"/>
  <c r="F280" i="30"/>
  <c r="F279" i="30" s="1"/>
  <c r="F285" i="30"/>
  <c r="F284" i="30" s="1"/>
  <c r="F283" i="30" s="1"/>
  <c r="F282" i="30" s="1"/>
  <c r="F297" i="30"/>
  <c r="F296" i="30" s="1"/>
  <c r="F300" i="30"/>
  <c r="F299" i="30" s="1"/>
  <c r="F303" i="30"/>
  <c r="F302" i="30" s="1"/>
  <c r="F306" i="30"/>
  <c r="F305" i="30" s="1"/>
  <c r="F309" i="30"/>
  <c r="F308" i="30" s="1"/>
  <c r="F316" i="30"/>
  <c r="F315" i="30" s="1"/>
  <c r="F319" i="30"/>
  <c r="F318" i="30" s="1"/>
  <c r="F323" i="30"/>
  <c r="F322" i="30" s="1"/>
  <c r="F326" i="30"/>
  <c r="F325" i="30" s="1"/>
  <c r="F330" i="30"/>
  <c r="F329" i="30" s="1"/>
  <c r="F333" i="30"/>
  <c r="F332" i="30" s="1"/>
  <c r="F350" i="30"/>
  <c r="F349" i="30" s="1"/>
  <c r="F353" i="30"/>
  <c r="F352" i="30" s="1"/>
  <c r="F356" i="30"/>
  <c r="F355" i="30" s="1"/>
  <c r="F363" i="30"/>
  <c r="F362" i="30" s="1"/>
  <c r="F367" i="30"/>
  <c r="F366" i="30" s="1"/>
  <c r="F365" i="30" s="1"/>
  <c r="F405" i="30"/>
  <c r="F404" i="30" s="1"/>
  <c r="F408" i="30"/>
  <c r="F407" i="30" s="1"/>
  <c r="F411" i="30"/>
  <c r="F410" i="30" s="1"/>
  <c r="F436" i="30"/>
  <c r="F435" i="30"/>
  <c r="F434" i="30" s="1"/>
  <c r="F438" i="30"/>
  <c r="F440" i="30"/>
  <c r="F448" i="30"/>
  <c r="F447" i="30" s="1"/>
  <c r="F446" i="30" s="1"/>
  <c r="F450" i="30"/>
  <c r="F452" i="30"/>
  <c r="F457" i="30"/>
  <c r="F456" i="30" s="1"/>
  <c r="F458" i="30"/>
  <c r="F461" i="30"/>
  <c r="F460" i="30" s="1"/>
  <c r="F467" i="30"/>
  <c r="F466" i="30" s="1"/>
  <c r="F465" i="30" s="1"/>
  <c r="F469" i="30"/>
  <c r="F471" i="30"/>
  <c r="F479" i="30"/>
  <c r="F478" i="30" s="1"/>
  <c r="F477" i="30" s="1"/>
  <c r="F482" i="30"/>
  <c r="F481" i="30" s="1"/>
  <c r="F489" i="30"/>
  <c r="F488" i="30" s="1"/>
  <c r="F493" i="30"/>
  <c r="F492" i="30" s="1"/>
  <c r="F498" i="30"/>
  <c r="F497" i="30" s="1"/>
  <c r="F496" i="30" s="1"/>
  <c r="F505" i="30"/>
  <c r="F504" i="30" s="1"/>
  <c r="F503" i="30" s="1"/>
  <c r="F502" i="30" s="1"/>
  <c r="F512" i="30"/>
  <c r="F511" i="30" s="1"/>
  <c r="F510" i="30" s="1"/>
  <c r="F509" i="30" s="1"/>
  <c r="F508" i="30" s="1"/>
  <c r="F518" i="30"/>
  <c r="F517" i="30" s="1"/>
  <c r="F516" i="30" s="1"/>
  <c r="F515" i="30" s="1"/>
  <c r="F514" i="30" s="1"/>
  <c r="F524" i="30"/>
  <c r="F523" i="30" s="1"/>
  <c r="F527" i="30"/>
  <c r="F526" i="30" s="1"/>
  <c r="F530" i="30"/>
  <c r="F529" i="30" s="1"/>
  <c r="F535" i="30"/>
  <c r="F534" i="30" s="1"/>
  <c r="F533" i="30" s="1"/>
  <c r="F532" i="30" s="1"/>
  <c r="F540" i="30"/>
  <c r="F539" i="30" s="1"/>
  <c r="F538" i="30" s="1"/>
  <c r="F537" i="30" s="1"/>
  <c r="F546" i="30"/>
  <c r="F545" i="30" s="1"/>
  <c r="F550" i="30"/>
  <c r="F549" i="30" s="1"/>
  <c r="F557" i="30"/>
  <c r="F556" i="30" s="1"/>
  <c r="F558" i="30"/>
  <c r="F560" i="30"/>
  <c r="F563" i="30"/>
  <c r="F565" i="30"/>
  <c r="F568" i="30"/>
  <c r="F570" i="30"/>
  <c r="F577" i="30"/>
  <c r="F576" i="30" s="1"/>
  <c r="F575" i="30" s="1"/>
  <c r="F579" i="30"/>
  <c r="F581" i="30"/>
  <c r="F596" i="30"/>
  <c r="F595" i="30" s="1"/>
  <c r="F594" i="30" s="1"/>
  <c r="F599" i="30"/>
  <c r="F598" i="30" s="1"/>
  <c r="F603" i="30"/>
  <c r="F602" i="30" s="1"/>
  <c r="F601" i="30" s="1"/>
  <c r="F609" i="30"/>
  <c r="F608" i="30" s="1"/>
  <c r="F612" i="30"/>
  <c r="F611" i="30" s="1"/>
  <c r="F615" i="30"/>
  <c r="F614" i="30" s="1"/>
  <c r="F618" i="30"/>
  <c r="F617" i="30" s="1"/>
  <c r="F621" i="30"/>
  <c r="F620" i="30" s="1"/>
  <c r="F624" i="30"/>
  <c r="F623" i="30" s="1"/>
  <c r="F627" i="30"/>
  <c r="F626" i="30" s="1"/>
  <c r="F633" i="30"/>
  <c r="F632" i="30" s="1"/>
  <c r="F636" i="30"/>
  <c r="F638" i="30"/>
  <c r="F657" i="30"/>
  <c r="F656" i="30" s="1"/>
  <c r="F655" i="30" s="1"/>
  <c r="F654" i="30" s="1"/>
  <c r="F653" i="30" s="1"/>
  <c r="F662" i="30"/>
  <c r="F661" i="30" s="1"/>
  <c r="F660" i="30" s="1"/>
  <c r="F667" i="30"/>
  <c r="F666" i="30" s="1"/>
  <c r="F671" i="30"/>
  <c r="F670" i="30" s="1"/>
  <c r="F676" i="30"/>
  <c r="F675" i="30" s="1"/>
  <c r="F674" i="30" s="1"/>
  <c r="F673" i="30" s="1"/>
  <c r="F682" i="30"/>
  <c r="F681" i="30" s="1"/>
  <c r="F680" i="30" s="1"/>
  <c r="F679" i="30" s="1"/>
  <c r="F678" i="30" s="1"/>
  <c r="F697" i="30"/>
  <c r="F696" i="30"/>
  <c r="F695" i="30" s="1"/>
  <c r="F694" i="30" s="1"/>
  <c r="F709" i="30"/>
  <c r="F708" i="30" s="1"/>
  <c r="F710" i="30"/>
  <c r="F712" i="30"/>
  <c r="F717" i="30"/>
  <c r="F716" i="30" s="1"/>
  <c r="F715" i="30" s="1"/>
  <c r="F714" i="30" s="1"/>
  <c r="F723" i="30"/>
  <c r="F722" i="30" s="1"/>
  <c r="F721" i="30" s="1"/>
  <c r="F720" i="30" s="1"/>
  <c r="F719" i="30" s="1"/>
  <c r="F725" i="30"/>
  <c r="H145" i="29"/>
  <c r="H144" i="29" s="1"/>
  <c r="H146" i="29"/>
  <c r="H148" i="29"/>
  <c r="H140" i="29"/>
  <c r="H139" i="29" s="1"/>
  <c r="H154" i="29"/>
  <c r="H153" i="29" s="1"/>
  <c r="H157" i="29"/>
  <c r="H156" i="29" s="1"/>
  <c r="H160" i="29"/>
  <c r="H159" i="29" s="1"/>
  <c r="H163" i="29"/>
  <c r="H162" i="29" s="1"/>
  <c r="H166" i="29"/>
  <c r="H165" i="29" s="1"/>
  <c r="H171" i="29"/>
  <c r="H170" i="29" s="1"/>
  <c r="H174" i="29"/>
  <c r="H173" i="29" s="1"/>
  <c r="H177" i="29"/>
  <c r="H176" i="29" s="1"/>
  <c r="H180" i="29"/>
  <c r="H179" i="29" s="1"/>
  <c r="H187" i="29"/>
  <c r="H186" i="29" s="1"/>
  <c r="H185" i="29" s="1"/>
  <c r="H184" i="29" s="1"/>
  <c r="H183" i="29" s="1"/>
  <c r="H193" i="29"/>
  <c r="H192" i="29" s="1"/>
  <c r="H191" i="29" s="1"/>
  <c r="H190" i="29" s="1"/>
  <c r="H197" i="29"/>
  <c r="H196" i="29" s="1"/>
  <c r="H195" i="29" s="1"/>
  <c r="H205" i="29"/>
  <c r="H204" i="29" s="1"/>
  <c r="H206" i="29"/>
  <c r="H208" i="29"/>
  <c r="H213" i="29"/>
  <c r="H212" i="29" s="1"/>
  <c r="H211" i="29" s="1"/>
  <c r="H210" i="29" s="1"/>
  <c r="H298" i="29"/>
  <c r="H297" i="29" s="1"/>
  <c r="H296" i="29" s="1"/>
  <c r="H295" i="29" s="1"/>
  <c r="H294" i="29" s="1"/>
  <c r="H293" i="29" s="1"/>
  <c r="H304" i="29"/>
  <c r="H303" i="29" s="1"/>
  <c r="H302" i="29" s="1"/>
  <c r="H301" i="29" s="1"/>
  <c r="H300" i="29" s="1"/>
  <c r="H311" i="29"/>
  <c r="H310" i="29" s="1"/>
  <c r="H309" i="29" s="1"/>
  <c r="H308" i="29" s="1"/>
  <c r="H307" i="29" s="1"/>
  <c r="H319" i="29"/>
  <c r="H318" i="29" s="1"/>
  <c r="H317" i="29" s="1"/>
  <c r="H316" i="29" s="1"/>
  <c r="H321" i="29"/>
  <c r="H323" i="29"/>
  <c r="H332" i="29"/>
  <c r="H331" i="29" s="1"/>
  <c r="H330" i="29" s="1"/>
  <c r="H334" i="29"/>
  <c r="H336" i="29"/>
  <c r="H340" i="29"/>
  <c r="H339" i="29" s="1"/>
  <c r="H343" i="29"/>
  <c r="H342" i="29" s="1"/>
  <c r="H379" i="29"/>
  <c r="H378" i="29" s="1"/>
  <c r="H377" i="29" s="1"/>
  <c r="H376" i="29" s="1"/>
  <c r="H375" i="29" s="1"/>
  <c r="H374" i="29" s="1"/>
  <c r="H385" i="29"/>
  <c r="H384" i="29" s="1"/>
  <c r="H388" i="29"/>
  <c r="H387" i="29" s="1"/>
  <c r="H391" i="29"/>
  <c r="H390" i="29" s="1"/>
  <c r="H399" i="29"/>
  <c r="H398" i="29" s="1"/>
  <c r="H397" i="29" s="1"/>
  <c r="H402" i="29"/>
  <c r="H401" i="29" s="1"/>
  <c r="H406" i="29"/>
  <c r="H405" i="29" s="1"/>
  <c r="H404" i="29" s="1"/>
  <c r="H412" i="29"/>
  <c r="H411" i="29" s="1"/>
  <c r="H415" i="29"/>
  <c r="H414" i="29" s="1"/>
  <c r="H418" i="29"/>
  <c r="H417" i="29" s="1"/>
  <c r="H421" i="29"/>
  <c r="H420" i="29" s="1"/>
  <c r="H424" i="29"/>
  <c r="H423" i="29" s="1"/>
  <c r="H427" i="29"/>
  <c r="H426" i="29" s="1"/>
  <c r="H430" i="29"/>
  <c r="H429" i="29" s="1"/>
  <c r="H437" i="29"/>
  <c r="H436" i="29" s="1"/>
  <c r="H435" i="29" s="1"/>
  <c r="H439" i="29"/>
  <c r="H441" i="29"/>
  <c r="H497" i="29"/>
  <c r="H496" i="29" s="1"/>
  <c r="H495" i="29" s="1"/>
  <c r="H499" i="29"/>
  <c r="H501" i="29"/>
  <c r="H449" i="29"/>
  <c r="H448" i="29" s="1"/>
  <c r="H450" i="29"/>
  <c r="H452" i="29"/>
  <c r="H582" i="29"/>
  <c r="H581" i="29" s="1"/>
  <c r="H580" i="29" s="1"/>
  <c r="H579" i="29" s="1"/>
  <c r="H578" i="29" s="1"/>
  <c r="H590" i="29"/>
  <c r="H589" i="29" s="1"/>
  <c r="H588" i="29" s="1"/>
  <c r="H587" i="29" s="1"/>
  <c r="H586" i="29" s="1"/>
  <c r="H585" i="29" s="1"/>
  <c r="H597" i="29"/>
  <c r="H596" i="29" s="1"/>
  <c r="H600" i="29"/>
  <c r="H599" i="29" s="1"/>
  <c r="H604" i="29"/>
  <c r="H603" i="29" s="1"/>
  <c r="H607" i="29"/>
  <c r="H606" i="29" s="1"/>
  <c r="H611" i="29"/>
  <c r="H610" i="29" s="1"/>
  <c r="H614" i="29"/>
  <c r="H613" i="29" s="1"/>
  <c r="H621" i="29"/>
  <c r="H620" i="29" s="1"/>
  <c r="H624" i="29"/>
  <c r="H623" i="29" s="1"/>
  <c r="H627" i="29"/>
  <c r="H626" i="29" s="1"/>
  <c r="H632" i="29"/>
  <c r="H631" i="29" s="1"/>
  <c r="H630" i="29" s="1"/>
  <c r="H629" i="29" s="1"/>
  <c r="H635" i="29"/>
  <c r="H634" i="29" s="1"/>
  <c r="H633" i="29" s="1"/>
  <c r="H639" i="29"/>
  <c r="H638" i="29" s="1"/>
  <c r="H637" i="29" s="1"/>
  <c r="H636" i="29" s="1"/>
  <c r="H644" i="29"/>
  <c r="H643" i="29" s="1"/>
  <c r="H648" i="29"/>
  <c r="H647" i="29" s="1"/>
  <c r="H646" i="29" s="1"/>
  <c r="H651" i="29"/>
  <c r="H650" i="29" s="1"/>
  <c r="H649" i="29" s="1"/>
  <c r="H659" i="29"/>
  <c r="H658" i="29" s="1"/>
  <c r="H657" i="29" s="1"/>
  <c r="H661" i="29"/>
  <c r="H663" i="29"/>
  <c r="H668" i="29"/>
  <c r="H667" i="29" s="1"/>
  <c r="H669" i="29"/>
  <c r="H672" i="29"/>
  <c r="H671" i="29" s="1"/>
  <c r="H680" i="29"/>
  <c r="H679" i="29" s="1"/>
  <c r="H678" i="29" s="1"/>
  <c r="H682" i="29"/>
  <c r="H684" i="29"/>
  <c r="H689" i="29"/>
  <c r="H688" i="29" s="1"/>
  <c r="H687" i="29" s="1"/>
  <c r="H686" i="29" s="1"/>
  <c r="H695" i="29"/>
  <c r="H694" i="29" s="1"/>
  <c r="H693" i="29" s="1"/>
  <c r="H692" i="29" s="1"/>
  <c r="H691" i="29" s="1"/>
  <c r="H704" i="29"/>
  <c r="H703" i="29" s="1"/>
  <c r="H702" i="29" s="1"/>
  <c r="H706" i="29"/>
  <c r="H708" i="29"/>
  <c r="H714" i="29"/>
  <c r="H713" i="29" s="1"/>
  <c r="H717" i="29"/>
  <c r="H716" i="29" s="1"/>
  <c r="H724" i="29"/>
  <c r="H723" i="29" s="1"/>
  <c r="H722" i="29" s="1"/>
  <c r="H721" i="29" s="1"/>
  <c r="H720" i="29" s="1"/>
  <c r="H719" i="29" s="1"/>
  <c r="H733" i="29"/>
  <c r="H732" i="29" s="1"/>
  <c r="H731" i="29" s="1"/>
  <c r="H736" i="29"/>
  <c r="H735" i="29" s="1"/>
  <c r="H743" i="29"/>
  <c r="H742" i="29" s="1"/>
  <c r="H747" i="29"/>
  <c r="H746" i="29" s="1"/>
  <c r="H752" i="29"/>
  <c r="H751" i="29" s="1"/>
  <c r="H750" i="29" s="1"/>
  <c r="H759" i="29"/>
  <c r="H758" i="29" s="1"/>
  <c r="H757" i="29" s="1"/>
  <c r="H756" i="29" s="1"/>
  <c r="H755" i="29" s="1"/>
  <c r="H766" i="29"/>
  <c r="H765" i="29" s="1"/>
  <c r="H777" i="29"/>
  <c r="H776" i="29" s="1"/>
  <c r="H778" i="29"/>
  <c r="H780" i="29"/>
  <c r="H783" i="29"/>
  <c r="H785" i="29"/>
  <c r="H788" i="29"/>
  <c r="H790" i="29"/>
  <c r="H797" i="29"/>
  <c r="H796" i="29" s="1"/>
  <c r="H795" i="29" s="1"/>
  <c r="H799" i="29"/>
  <c r="H801" i="29"/>
  <c r="H808" i="29"/>
  <c r="H807" i="29" s="1"/>
  <c r="H812" i="29"/>
  <c r="H811" i="29" s="1"/>
  <c r="H818" i="29"/>
  <c r="H817" i="29" s="1"/>
  <c r="H816" i="29" s="1"/>
  <c r="H815" i="29" s="1"/>
  <c r="H814" i="29" s="1"/>
  <c r="H827" i="29"/>
  <c r="H826" i="29" s="1"/>
  <c r="H825" i="29" s="1"/>
  <c r="H824" i="29" s="1"/>
  <c r="H823" i="29" s="1"/>
  <c r="H822" i="29" s="1"/>
  <c r="H834" i="29"/>
  <c r="H833" i="29" s="1"/>
  <c r="H832" i="29" s="1"/>
  <c r="H831" i="29" s="1"/>
  <c r="H830" i="29" s="1"/>
  <c r="H836" i="29"/>
  <c r="H838" i="29"/>
  <c r="H844" i="29"/>
  <c r="H843" i="29" s="1"/>
  <c r="H842" i="29" s="1"/>
  <c r="H841" i="29" s="1"/>
  <c r="H840" i="29" s="1"/>
  <c r="H853" i="29"/>
  <c r="H852" i="29" s="1"/>
  <c r="H851" i="29" s="1"/>
  <c r="H855" i="29"/>
  <c r="H857" i="29"/>
  <c r="H859" i="29"/>
  <c r="G648" i="29"/>
  <c r="G145" i="29"/>
  <c r="G146" i="29"/>
  <c r="G148" i="29"/>
  <c r="G140" i="29"/>
  <c r="G154" i="29"/>
  <c r="G157" i="29"/>
  <c r="G160" i="29"/>
  <c r="G163" i="29"/>
  <c r="G166" i="29"/>
  <c r="G171" i="29"/>
  <c r="G174" i="29"/>
  <c r="G177" i="29"/>
  <c r="G180" i="29"/>
  <c r="G187" i="29"/>
  <c r="G193" i="29"/>
  <c r="G197" i="29"/>
  <c r="G205" i="29"/>
  <c r="G206" i="29"/>
  <c r="G208" i="29"/>
  <c r="G213" i="29"/>
  <c r="G251" i="29"/>
  <c r="G244" i="29"/>
  <c r="G289" i="29"/>
  <c r="G282" i="29"/>
  <c r="G298" i="29"/>
  <c r="G304" i="29"/>
  <c r="G311" i="29"/>
  <c r="G319" i="29"/>
  <c r="G321" i="29"/>
  <c r="G323" i="29"/>
  <c r="G332" i="29"/>
  <c r="G334" i="29"/>
  <c r="G336" i="29"/>
  <c r="G340" i="29"/>
  <c r="G343" i="29"/>
  <c r="G379" i="29"/>
  <c r="G385" i="29"/>
  <c r="G388" i="29"/>
  <c r="G391" i="29"/>
  <c r="G399" i="29"/>
  <c r="G402" i="29"/>
  <c r="G406" i="29"/>
  <c r="G412" i="29"/>
  <c r="G415" i="29"/>
  <c r="G418" i="29"/>
  <c r="G421" i="29"/>
  <c r="G424" i="29"/>
  <c r="G427" i="29"/>
  <c r="G430" i="29"/>
  <c r="G437" i="29"/>
  <c r="G436" i="29" s="1"/>
  <c r="G439" i="29"/>
  <c r="G441" i="29"/>
  <c r="G497" i="29"/>
  <c r="G499" i="29"/>
  <c r="G501" i="29"/>
  <c r="G449" i="29"/>
  <c r="G450" i="29"/>
  <c r="G452" i="29"/>
  <c r="G582" i="29"/>
  <c r="G590" i="29"/>
  <c r="G597" i="29"/>
  <c r="G600" i="29"/>
  <c r="G604" i="29"/>
  <c r="G607" i="29"/>
  <c r="G611" i="29"/>
  <c r="G614" i="29"/>
  <c r="G621" i="29"/>
  <c r="G624" i="29"/>
  <c r="G627" i="29"/>
  <c r="G631" i="29"/>
  <c r="G630" i="29" s="1"/>
  <c r="G634" i="29"/>
  <c r="G638" i="29"/>
  <c r="G644" i="29"/>
  <c r="G650" i="29"/>
  <c r="G659" i="29"/>
  <c r="G661" i="29"/>
  <c r="G663" i="29"/>
  <c r="G668" i="29"/>
  <c r="G669" i="29"/>
  <c r="G672" i="29"/>
  <c r="G680" i="29"/>
  <c r="G682" i="29"/>
  <c r="G684" i="29"/>
  <c r="G689" i="29"/>
  <c r="G704" i="29"/>
  <c r="G706" i="29"/>
  <c r="G708" i="29"/>
  <c r="G714" i="29"/>
  <c r="G717" i="29"/>
  <c r="G724" i="29"/>
  <c r="G733" i="29"/>
  <c r="G736" i="29"/>
  <c r="G743" i="29"/>
  <c r="G747" i="29"/>
  <c r="G752" i="29"/>
  <c r="G759" i="29"/>
  <c r="G766" i="29"/>
  <c r="G770" i="29"/>
  <c r="G777" i="29"/>
  <c r="G778" i="29"/>
  <c r="G780" i="29"/>
  <c r="G783" i="29"/>
  <c r="G785" i="29"/>
  <c r="G788" i="29"/>
  <c r="G790" i="29"/>
  <c r="G797" i="29"/>
  <c r="G799" i="29"/>
  <c r="G801" i="29"/>
  <c r="G827" i="29"/>
  <c r="G834" i="29"/>
  <c r="G836" i="29"/>
  <c r="G838" i="29"/>
  <c r="G844" i="29"/>
  <c r="G853" i="29"/>
  <c r="G855" i="29"/>
  <c r="G857" i="29"/>
  <c r="G859" i="29"/>
  <c r="F657" i="25"/>
  <c r="F675" i="21"/>
  <c r="F671" i="21"/>
  <c r="F670" i="21" s="1"/>
  <c r="G699" i="24"/>
  <c r="F746" i="25"/>
  <c r="F664" i="25"/>
  <c r="F663" i="25" s="1"/>
  <c r="F742" i="21"/>
  <c r="F739" i="21"/>
  <c r="G715" i="24"/>
  <c r="G712" i="24"/>
  <c r="F258" i="25"/>
  <c r="F256" i="25"/>
  <c r="F255" i="25" s="1"/>
  <c r="F228" i="21"/>
  <c r="F226" i="21"/>
  <c r="G532" i="24"/>
  <c r="G530" i="24"/>
  <c r="G529" i="24" s="1"/>
  <c r="F189" i="25"/>
  <c r="F188" i="25" s="1"/>
  <c r="F187" i="25"/>
  <c r="F186" i="25" s="1"/>
  <c r="F290" i="21"/>
  <c r="F288" i="21"/>
  <c r="G437" i="24"/>
  <c r="G435" i="24"/>
  <c r="F1001" i="25"/>
  <c r="F139" i="25"/>
  <c r="F138" i="25" s="1"/>
  <c r="F137" i="25" s="1"/>
  <c r="F136" i="25" s="1"/>
  <c r="F135" i="25" s="1"/>
  <c r="F186" i="21"/>
  <c r="F269" i="21"/>
  <c r="F268" i="21" s="1"/>
  <c r="F267" i="21" s="1"/>
  <c r="G416" i="24"/>
  <c r="G373" i="24"/>
  <c r="G381" i="24"/>
  <c r="G383" i="24"/>
  <c r="G385" i="24"/>
  <c r="G389" i="24"/>
  <c r="G393" i="24"/>
  <c r="G398" i="24"/>
  <c r="G403" i="24"/>
  <c r="G406" i="24"/>
  <c r="G407" i="24"/>
  <c r="G411" i="24"/>
  <c r="G412" i="24"/>
  <c r="G418" i="24"/>
  <c r="G422" i="24"/>
  <c r="G424" i="24"/>
  <c r="G428" i="24"/>
  <c r="G433" i="24"/>
  <c r="G440" i="24"/>
  <c r="F478" i="25"/>
  <c r="F477" i="25" s="1"/>
  <c r="F476" i="25" s="1"/>
  <c r="F475" i="25" s="1"/>
  <c r="F474" i="25" s="1"/>
  <c r="F484" i="25"/>
  <c r="F483" i="25" s="1"/>
  <c r="F482" i="25" s="1"/>
  <c r="F481" i="25" s="1"/>
  <c r="F480" i="25" s="1"/>
  <c r="F491" i="25"/>
  <c r="F490" i="25" s="1"/>
  <c r="F489" i="25" s="1"/>
  <c r="F488" i="25" s="1"/>
  <c r="F487" i="25" s="1"/>
  <c r="F486" i="25" s="1"/>
  <c r="F500" i="25"/>
  <c r="F499" i="25" s="1"/>
  <c r="F498" i="25" s="1"/>
  <c r="F497" i="25" s="1"/>
  <c r="F495" i="25"/>
  <c r="F494" i="25" s="1"/>
  <c r="F493" i="25" s="1"/>
  <c r="F492" i="25" s="1"/>
  <c r="F688" i="21"/>
  <c r="F687" i="21" s="1"/>
  <c r="F686" i="21" s="1"/>
  <c r="F685" i="21" s="1"/>
  <c r="F690" i="21"/>
  <c r="F689" i="21" s="1"/>
  <c r="F694" i="21"/>
  <c r="F693" i="21" s="1"/>
  <c r="F692" i="21" s="1"/>
  <c r="F697" i="21"/>
  <c r="F696" i="21" s="1"/>
  <c r="F762" i="25"/>
  <c r="F761" i="25" s="1"/>
  <c r="F760" i="25" s="1"/>
  <c r="F759" i="25"/>
  <c r="F373" i="21"/>
  <c r="F372" i="21" s="1"/>
  <c r="F371" i="21" s="1"/>
  <c r="F370" i="21"/>
  <c r="G618" i="24"/>
  <c r="G615" i="24"/>
  <c r="C56" i="22"/>
  <c r="C70" i="22"/>
  <c r="C50" i="22"/>
  <c r="C54" i="22"/>
  <c r="C65" i="22"/>
  <c r="C62" i="22" s="1"/>
  <c r="C61" i="22" s="1"/>
  <c r="F1020" i="25"/>
  <c r="F1022" i="25"/>
  <c r="G709" i="24"/>
  <c r="G538" i="24"/>
  <c r="G540" i="24"/>
  <c r="G543" i="24"/>
  <c r="G546" i="24"/>
  <c r="G549" i="24"/>
  <c r="G552" i="24"/>
  <c r="G556" i="24"/>
  <c r="G558" i="24"/>
  <c r="G562" i="24"/>
  <c r="G565" i="24"/>
  <c r="G582" i="24"/>
  <c r="G584" i="24"/>
  <c r="G586" i="24"/>
  <c r="G528" i="24"/>
  <c r="G531" i="24"/>
  <c r="G521" i="24"/>
  <c r="F29" i="25"/>
  <c r="F28" i="25" s="1"/>
  <c r="F27" i="25" s="1"/>
  <c r="F26" i="25" s="1"/>
  <c r="F25" i="25" s="1"/>
  <c r="F24" i="25" s="1"/>
  <c r="F35" i="25"/>
  <c r="F34" i="25" s="1"/>
  <c r="F33" i="25" s="1"/>
  <c r="F32" i="25" s="1"/>
  <c r="F31" i="25" s="1"/>
  <c r="F40" i="25"/>
  <c r="F39" i="25" s="1"/>
  <c r="F38" i="25" s="1"/>
  <c r="F37" i="25" s="1"/>
  <c r="F36" i="25" s="1"/>
  <c r="F45" i="25"/>
  <c r="F44" i="25" s="1"/>
  <c r="F43" i="25" s="1"/>
  <c r="F42" i="25" s="1"/>
  <c r="F41" i="25" s="1"/>
  <c r="F49" i="25"/>
  <c r="F48" i="25" s="1"/>
  <c r="F47" i="25" s="1"/>
  <c r="F46" i="25" s="1"/>
  <c r="F54" i="25"/>
  <c r="F53" i="25" s="1"/>
  <c r="F52" i="25" s="1"/>
  <c r="F51" i="25" s="1"/>
  <c r="F59" i="25"/>
  <c r="F58" i="25" s="1"/>
  <c r="F57" i="25" s="1"/>
  <c r="F56" i="25" s="1"/>
  <c r="F64" i="25"/>
  <c r="F63" i="25" s="1"/>
  <c r="F62" i="25" s="1"/>
  <c r="F61" i="25" s="1"/>
  <c r="F69" i="25"/>
  <c r="F68" i="25" s="1"/>
  <c r="F67" i="25" s="1"/>
  <c r="F66" i="25" s="1"/>
  <c r="F76" i="25"/>
  <c r="F75" i="25" s="1"/>
  <c r="F74" i="25" s="1"/>
  <c r="F73" i="25" s="1"/>
  <c r="F72" i="25" s="1"/>
  <c r="F81" i="25"/>
  <c r="F80" i="25" s="1"/>
  <c r="F79" i="25" s="1"/>
  <c r="F78" i="25" s="1"/>
  <c r="F77" i="25" s="1"/>
  <c r="F86" i="25"/>
  <c r="F85" i="25" s="1"/>
  <c r="F84" i="25" s="1"/>
  <c r="F83" i="25" s="1"/>
  <c r="F91" i="25"/>
  <c r="F90" i="25" s="1"/>
  <c r="F89" i="25" s="1"/>
  <c r="F88" i="25" s="1"/>
  <c r="F97" i="25"/>
  <c r="F96" i="25" s="1"/>
  <c r="F95" i="25" s="1"/>
  <c r="F94" i="25" s="1"/>
  <c r="F93" i="25" s="1"/>
  <c r="F102" i="25"/>
  <c r="F101" i="25" s="1"/>
  <c r="F100" i="25" s="1"/>
  <c r="F99" i="25" s="1"/>
  <c r="F98" i="25" s="1"/>
  <c r="F109" i="25"/>
  <c r="F108" i="25" s="1"/>
  <c r="F107" i="25" s="1"/>
  <c r="F106" i="25" s="1"/>
  <c r="F114" i="25"/>
  <c r="F116" i="25"/>
  <c r="F121" i="25"/>
  <c r="F120" i="25" s="1"/>
  <c r="F119" i="25" s="1"/>
  <c r="F118" i="25" s="1"/>
  <c r="F127" i="25"/>
  <c r="F126" i="25" s="1"/>
  <c r="F125" i="25" s="1"/>
  <c r="F124" i="25" s="1"/>
  <c r="F133" i="25"/>
  <c r="F132" i="25" s="1"/>
  <c r="F131" i="25" s="1"/>
  <c r="F130" i="25" s="1"/>
  <c r="F129" i="25" s="1"/>
  <c r="F144" i="25"/>
  <c r="F143" i="25" s="1"/>
  <c r="F142" i="25" s="1"/>
  <c r="F141" i="25" s="1"/>
  <c r="F140" i="25" s="1"/>
  <c r="F149" i="25"/>
  <c r="F148" i="25" s="1"/>
  <c r="F150" i="25"/>
  <c r="F156" i="25"/>
  <c r="F155" i="25" s="1"/>
  <c r="F157" i="25"/>
  <c r="F177" i="25"/>
  <c r="F176" i="25" s="1"/>
  <c r="F175" i="25" s="1"/>
  <c r="F174" i="25" s="1"/>
  <c r="F163" i="25"/>
  <c r="F162" i="25"/>
  <c r="F161" i="25" s="1"/>
  <c r="F160" i="25" s="1"/>
  <c r="F159" i="25" s="1"/>
  <c r="F167" i="25"/>
  <c r="F166" i="25" s="1"/>
  <c r="F165" i="25" s="1"/>
  <c r="F164" i="25" s="1"/>
  <c r="F173" i="25"/>
  <c r="F172" i="25" s="1"/>
  <c r="F171" i="25" s="1"/>
  <c r="F170" i="25" s="1"/>
  <c r="F169" i="25" s="1"/>
  <c r="F184" i="25"/>
  <c r="F194" i="25"/>
  <c r="F193" i="25" s="1"/>
  <c r="F192" i="25" s="1"/>
  <c r="F191" i="25" s="1"/>
  <c r="F190" i="25" s="1"/>
  <c r="F201" i="25"/>
  <c r="F200" i="25" s="1"/>
  <c r="F199" i="25" s="1"/>
  <c r="F198" i="25" s="1"/>
  <c r="F206" i="25"/>
  <c r="F208" i="25"/>
  <c r="F214" i="25"/>
  <c r="F213" i="25" s="1"/>
  <c r="F212" i="25" s="1"/>
  <c r="F211" i="25" s="1"/>
  <c r="F210" i="25" s="1"/>
  <c r="F218" i="25"/>
  <c r="F217" i="25" s="1"/>
  <c r="F216" i="25" s="1"/>
  <c r="F215" i="25" s="1"/>
  <c r="F223" i="25"/>
  <c r="F222" i="25" s="1"/>
  <c r="F221" i="25" s="1"/>
  <c r="F220" i="25" s="1"/>
  <c r="F228" i="25"/>
  <c r="F227" i="25" s="1"/>
  <c r="F226" i="25" s="1"/>
  <c r="F225" i="25" s="1"/>
  <c r="F233" i="25"/>
  <c r="F232" i="25" s="1"/>
  <c r="F231" i="25" s="1"/>
  <c r="F230" i="25" s="1"/>
  <c r="F238" i="25"/>
  <c r="F237" i="25" s="1"/>
  <c r="F236" i="25" s="1"/>
  <c r="F235" i="25" s="1"/>
  <c r="F244" i="25"/>
  <c r="F243" i="25" s="1"/>
  <c r="F242" i="25" s="1"/>
  <c r="F241" i="25" s="1"/>
  <c r="F240" i="25" s="1"/>
  <c r="F248" i="25"/>
  <c r="F247" i="25" s="1"/>
  <c r="F246" i="25" s="1"/>
  <c r="F245" i="25" s="1"/>
  <c r="F254" i="25"/>
  <c r="F253" i="25" s="1"/>
  <c r="F257" i="25"/>
  <c r="F263" i="25"/>
  <c r="F262" i="25" s="1"/>
  <c r="F261" i="25" s="1"/>
  <c r="F260" i="25" s="1"/>
  <c r="F259" i="25" s="1"/>
  <c r="F268" i="25"/>
  <c r="F267" i="25" s="1"/>
  <c r="F266" i="25" s="1"/>
  <c r="F265" i="25" s="1"/>
  <c r="F264" i="25" s="1"/>
  <c r="F273" i="25"/>
  <c r="F272" i="25" s="1"/>
  <c r="F271" i="25" s="1"/>
  <c r="F270" i="25" s="1"/>
  <c r="F278" i="25"/>
  <c r="F277" i="25" s="1"/>
  <c r="F276" i="25" s="1"/>
  <c r="F275" i="25" s="1"/>
  <c r="F283" i="25"/>
  <c r="F282" i="25" s="1"/>
  <c r="F281" i="25" s="1"/>
  <c r="F280" i="25" s="1"/>
  <c r="F288" i="25"/>
  <c r="F287" i="25" s="1"/>
  <c r="F286" i="25" s="1"/>
  <c r="F285" i="25" s="1"/>
  <c r="F293" i="25"/>
  <c r="F292" i="25" s="1"/>
  <c r="F291" i="25" s="1"/>
  <c r="F290" i="25" s="1"/>
  <c r="F299" i="25"/>
  <c r="F298" i="25" s="1"/>
  <c r="F297" i="25" s="1"/>
  <c r="F296" i="25" s="1"/>
  <c r="F295" i="25" s="1"/>
  <c r="F312" i="25"/>
  <c r="F311" i="25" s="1"/>
  <c r="F310" i="25" s="1"/>
  <c r="F309" i="25" s="1"/>
  <c r="F324" i="25"/>
  <c r="F323" i="25"/>
  <c r="F322" i="25" s="1"/>
  <c r="F321" i="25" s="1"/>
  <c r="F320" i="25" s="1"/>
  <c r="F329" i="25"/>
  <c r="F328" i="25" s="1"/>
  <c r="F327" i="25" s="1"/>
  <c r="F326" i="25" s="1"/>
  <c r="F335" i="25"/>
  <c r="F334" i="25" s="1"/>
  <c r="F333" i="25" s="1"/>
  <c r="F332" i="25" s="1"/>
  <c r="F346" i="25"/>
  <c r="F345" i="25" s="1"/>
  <c r="F344" i="25" s="1"/>
  <c r="F343" i="25" s="1"/>
  <c r="F353" i="25"/>
  <c r="F354" i="25"/>
  <c r="F318" i="25"/>
  <c r="F317" i="25" s="1"/>
  <c r="F316" i="25" s="1"/>
  <c r="F315" i="25" s="1"/>
  <c r="F341" i="25"/>
  <c r="F340" i="25" s="1"/>
  <c r="F339" i="25" s="1"/>
  <c r="F338" i="25" s="1"/>
  <c r="F361" i="25"/>
  <c r="F360" i="25" s="1"/>
  <c r="F362" i="25"/>
  <c r="F364" i="25"/>
  <c r="F370" i="25"/>
  <c r="F369" i="25" s="1"/>
  <c r="F372" i="25"/>
  <c r="F371" i="25" s="1"/>
  <c r="F377" i="25"/>
  <c r="F376" i="25" s="1"/>
  <c r="F379" i="25"/>
  <c r="F378" i="25" s="1"/>
  <c r="F381" i="25"/>
  <c r="F380" i="25" s="1"/>
  <c r="F387" i="25"/>
  <c r="F388" i="25"/>
  <c r="F392" i="25"/>
  <c r="F391" i="25" s="1"/>
  <c r="F390" i="25" s="1"/>
  <c r="F389" i="25" s="1"/>
  <c r="F397" i="25"/>
  <c r="F396" i="25" s="1"/>
  <c r="F395" i="25" s="1"/>
  <c r="F394" i="25" s="1"/>
  <c r="F403" i="25"/>
  <c r="F402" i="25" s="1"/>
  <c r="F401" i="25" s="1"/>
  <c r="F400" i="25" s="1"/>
  <c r="F412" i="25"/>
  <c r="F411" i="25"/>
  <c r="F410" i="25" s="1"/>
  <c r="F409" i="25" s="1"/>
  <c r="F408" i="25" s="1"/>
  <c r="F416" i="25"/>
  <c r="F418" i="25"/>
  <c r="F425" i="25"/>
  <c r="F424" i="25" s="1"/>
  <c r="F423" i="25" s="1"/>
  <c r="F422" i="25" s="1"/>
  <c r="F430" i="25"/>
  <c r="F429" i="25" s="1"/>
  <c r="F428" i="25" s="1"/>
  <c r="F427" i="25" s="1"/>
  <c r="F435" i="25"/>
  <c r="F434" i="25" s="1"/>
  <c r="F433" i="25" s="1"/>
  <c r="F432" i="25" s="1"/>
  <c r="F440" i="25"/>
  <c r="F439" i="25" s="1"/>
  <c r="F438" i="25" s="1"/>
  <c r="F437" i="25" s="1"/>
  <c r="F445" i="25"/>
  <c r="F444" i="25" s="1"/>
  <c r="F443" i="25" s="1"/>
  <c r="F442" i="25" s="1"/>
  <c r="F450" i="25"/>
  <c r="F449" i="25" s="1"/>
  <c r="F448" i="25" s="1"/>
  <c r="F447" i="25" s="1"/>
  <c r="F455" i="25"/>
  <c r="F454" i="25" s="1"/>
  <c r="F453" i="25" s="1"/>
  <c r="F452" i="25" s="1"/>
  <c r="F461" i="25"/>
  <c r="F460" i="25" s="1"/>
  <c r="F459" i="25" s="1"/>
  <c r="F458" i="25" s="1"/>
  <c r="F466" i="25"/>
  <c r="F465" i="25" s="1"/>
  <c r="F464" i="25" s="1"/>
  <c r="F463" i="25" s="1"/>
  <c r="F471" i="25"/>
  <c r="F470" i="25" s="1"/>
  <c r="F469" i="25" s="1"/>
  <c r="F468" i="25" s="1"/>
  <c r="F509" i="25"/>
  <c r="F508" i="25" s="1"/>
  <c r="F507" i="25" s="1"/>
  <c r="F506" i="25" s="1"/>
  <c r="F505" i="25" s="1"/>
  <c r="F514" i="25"/>
  <c r="F513" i="25" s="1"/>
  <c r="F516" i="25"/>
  <c r="F515" i="25"/>
  <c r="F522" i="25"/>
  <c r="F521" i="25" s="1"/>
  <c r="F520" i="25" s="1"/>
  <c r="F519" i="25" s="1"/>
  <c r="F518" i="25" s="1"/>
  <c r="F529" i="25"/>
  <c r="F528" i="25" s="1"/>
  <c r="F527" i="25" s="1"/>
  <c r="F526" i="25" s="1"/>
  <c r="F525" i="25" s="1"/>
  <c r="F524" i="25" s="1"/>
  <c r="F540" i="25"/>
  <c r="F539" i="25"/>
  <c r="F538" i="25" s="1"/>
  <c r="F537" i="25" s="1"/>
  <c r="F536" i="25" s="1"/>
  <c r="F544" i="25"/>
  <c r="F543" i="25" s="1"/>
  <c r="F542" i="25" s="1"/>
  <c r="F541" i="25" s="1"/>
  <c r="F550" i="25"/>
  <c r="F553" i="25"/>
  <c r="F552" i="25" s="1"/>
  <c r="F558" i="25"/>
  <c r="F557" i="25" s="1"/>
  <c r="F556" i="25" s="1"/>
  <c r="F555" i="25" s="1"/>
  <c r="F563" i="25"/>
  <c r="F562" i="25" s="1"/>
  <c r="F561" i="25" s="1"/>
  <c r="F560" i="25" s="1"/>
  <c r="F569" i="25"/>
  <c r="F568" i="25" s="1"/>
  <c r="F567" i="25" s="1"/>
  <c r="F566" i="25" s="1"/>
  <c r="F565" i="25" s="1"/>
  <c r="F577" i="25"/>
  <c r="F576" i="25" s="1"/>
  <c r="F574" i="25"/>
  <c r="F581" i="25"/>
  <c r="F580" i="25" s="1"/>
  <c r="F579" i="25" s="1"/>
  <c r="F578" i="25" s="1"/>
  <c r="F586" i="25"/>
  <c r="F585" i="25" s="1"/>
  <c r="F584" i="25" s="1"/>
  <c r="F583" i="25" s="1"/>
  <c r="F593" i="25"/>
  <c r="F592" i="25" s="1"/>
  <c r="F594" i="25"/>
  <c r="F597" i="25"/>
  <c r="F596" i="25" s="1"/>
  <c r="F601" i="25"/>
  <c r="F600" i="25" s="1"/>
  <c r="F599" i="25" s="1"/>
  <c r="F598" i="25" s="1"/>
  <c r="F606" i="25"/>
  <c r="F605" i="25" s="1"/>
  <c r="F604" i="25" s="1"/>
  <c r="F603" i="25" s="1"/>
  <c r="F614" i="25"/>
  <c r="F613" i="25"/>
  <c r="F612" i="25" s="1"/>
  <c r="F611" i="25" s="1"/>
  <c r="F610" i="25" s="1"/>
  <c r="F618" i="25"/>
  <c r="F621" i="25"/>
  <c r="F620" i="25" s="1"/>
  <c r="F626" i="25"/>
  <c r="F625" i="25" s="1"/>
  <c r="F624" i="25" s="1"/>
  <c r="F623" i="25" s="1"/>
  <c r="F631" i="25"/>
  <c r="F630" i="25" s="1"/>
  <c r="F629" i="25" s="1"/>
  <c r="F628" i="25" s="1"/>
  <c r="F637" i="25"/>
  <c r="F636" i="25"/>
  <c r="F635" i="25" s="1"/>
  <c r="F634" i="25" s="1"/>
  <c r="F633" i="25" s="1"/>
  <c r="F642" i="25"/>
  <c r="F641" i="25" s="1"/>
  <c r="F640" i="25" s="1"/>
  <c r="F639" i="25" s="1"/>
  <c r="F638" i="25" s="1"/>
  <c r="F646" i="25"/>
  <c r="F645" i="25" s="1"/>
  <c r="F644" i="25" s="1"/>
  <c r="F643" i="25" s="1"/>
  <c r="F656" i="25"/>
  <c r="F655" i="25" s="1"/>
  <c r="F654" i="25" s="1"/>
  <c r="F653" i="25" s="1"/>
  <c r="F668" i="25"/>
  <c r="F667" i="25" s="1"/>
  <c r="F666" i="25" s="1"/>
  <c r="F665" i="25" s="1"/>
  <c r="F673" i="25"/>
  <c r="F672" i="25" s="1"/>
  <c r="F671" i="25" s="1"/>
  <c r="F670" i="25" s="1"/>
  <c r="F678" i="25"/>
  <c r="F677" i="25" s="1"/>
  <c r="F676" i="25" s="1"/>
  <c r="F675" i="25" s="1"/>
  <c r="F684" i="25"/>
  <c r="F683" i="25"/>
  <c r="F682" i="25" s="1"/>
  <c r="F681" i="25" s="1"/>
  <c r="F680" i="25" s="1"/>
  <c r="F689" i="25"/>
  <c r="F688" i="25" s="1"/>
  <c r="F690" i="25"/>
  <c r="F701" i="25"/>
  <c r="F700" i="25"/>
  <c r="F699" i="25" s="1"/>
  <c r="F698" i="25" s="1"/>
  <c r="F697" i="25" s="1"/>
  <c r="F705" i="25"/>
  <c r="F704" i="25" s="1"/>
  <c r="F703" i="25" s="1"/>
  <c r="F702" i="25" s="1"/>
  <c r="F710" i="25"/>
  <c r="F709" i="25" s="1"/>
  <c r="F708" i="25" s="1"/>
  <c r="F707" i="25" s="1"/>
  <c r="F715" i="25"/>
  <c r="F714" i="25" s="1"/>
  <c r="F713" i="25" s="1"/>
  <c r="F712" i="25" s="1"/>
  <c r="F721" i="25"/>
  <c r="F720" i="25" s="1"/>
  <c r="F719" i="25" s="1"/>
  <c r="F718" i="25" s="1"/>
  <c r="F717" i="25" s="1"/>
  <c r="F725" i="25"/>
  <c r="F724" i="25" s="1"/>
  <c r="F723" i="25" s="1"/>
  <c r="F722" i="25" s="1"/>
  <c r="F730" i="25"/>
  <c r="F729" i="25" s="1"/>
  <c r="F728" i="25" s="1"/>
  <c r="F727" i="25" s="1"/>
  <c r="F736" i="25"/>
  <c r="F735" i="25" s="1"/>
  <c r="F734" i="25" s="1"/>
  <c r="F733" i="25" s="1"/>
  <c r="F732" i="25" s="1"/>
  <c r="F651" i="25"/>
  <c r="F650" i="25" s="1"/>
  <c r="F649" i="25" s="1"/>
  <c r="F648" i="25" s="1"/>
  <c r="F740" i="25"/>
  <c r="F739" i="25" s="1"/>
  <c r="F738" i="25" s="1"/>
  <c r="F737" i="25" s="1"/>
  <c r="F695" i="25"/>
  <c r="F694" i="25" s="1"/>
  <c r="F693" i="25" s="1"/>
  <c r="F692" i="25" s="1"/>
  <c r="F750" i="25"/>
  <c r="F749" i="25" s="1"/>
  <c r="F748" i="25" s="1"/>
  <c r="F747" i="25" s="1"/>
  <c r="F755" i="25"/>
  <c r="F754" i="25" s="1"/>
  <c r="F753" i="25" s="1"/>
  <c r="F752" i="25" s="1"/>
  <c r="F661" i="25"/>
  <c r="F766" i="25"/>
  <c r="F765" i="25" s="1"/>
  <c r="F764" i="25" s="1"/>
  <c r="F763" i="25" s="1"/>
  <c r="F758" i="25"/>
  <c r="F757" i="25" s="1"/>
  <c r="F745" i="25"/>
  <c r="F744" i="25" s="1"/>
  <c r="F743" i="25" s="1"/>
  <c r="F742" i="25" s="1"/>
  <c r="F773" i="25"/>
  <c r="F772" i="25" s="1"/>
  <c r="F771" i="25" s="1"/>
  <c r="F770" i="25" s="1"/>
  <c r="F769" i="25" s="1"/>
  <c r="F779" i="25"/>
  <c r="F778" i="25" s="1"/>
  <c r="F777" i="25" s="1"/>
  <c r="F776" i="25" s="1"/>
  <c r="F775" i="25" s="1"/>
  <c r="F786" i="25"/>
  <c r="F785" i="25" s="1"/>
  <c r="F784" i="25" s="1"/>
  <c r="F783" i="25" s="1"/>
  <c r="F782" i="25" s="1"/>
  <c r="F781" i="25" s="1"/>
  <c r="F794" i="25"/>
  <c r="F793" i="25" s="1"/>
  <c r="F792" i="25" s="1"/>
  <c r="F791" i="25" s="1"/>
  <c r="F790" i="25" s="1"/>
  <c r="F798" i="25"/>
  <c r="F800" i="25"/>
  <c r="F807" i="25"/>
  <c r="F806" i="25" s="1"/>
  <c r="F805" i="25" s="1"/>
  <c r="F804" i="25" s="1"/>
  <c r="F803" i="25" s="1"/>
  <c r="F802" i="25" s="1"/>
  <c r="F829" i="25"/>
  <c r="F828" i="25" s="1"/>
  <c r="F827" i="25" s="1"/>
  <c r="F826" i="25" s="1"/>
  <c r="F835" i="25"/>
  <c r="F834" i="25" s="1"/>
  <c r="F833" i="25" s="1"/>
  <c r="F832" i="25" s="1"/>
  <c r="F839" i="25"/>
  <c r="F838" i="25" s="1"/>
  <c r="F840" i="25"/>
  <c r="F845" i="25"/>
  <c r="F844" i="25" s="1"/>
  <c r="F843" i="25" s="1"/>
  <c r="F842" i="25" s="1"/>
  <c r="F852" i="25"/>
  <c r="F851" i="25"/>
  <c r="F850" i="25" s="1"/>
  <c r="F849" i="25" s="1"/>
  <c r="F848" i="25" s="1"/>
  <c r="F857" i="25"/>
  <c r="F856" i="25" s="1"/>
  <c r="F859" i="25"/>
  <c r="F858" i="25" s="1"/>
  <c r="F864" i="25"/>
  <c r="F863" i="25" s="1"/>
  <c r="F862" i="25" s="1"/>
  <c r="F861" i="25" s="1"/>
  <c r="F869" i="25"/>
  <c r="F871" i="25"/>
  <c r="F876" i="25"/>
  <c r="F879" i="25"/>
  <c r="F878" i="25" s="1"/>
  <c r="F883" i="25"/>
  <c r="F882" i="25" s="1"/>
  <c r="F884" i="25"/>
  <c r="F890" i="25"/>
  <c r="F889" i="25" s="1"/>
  <c r="F888" i="25" s="1"/>
  <c r="F887" i="25" s="1"/>
  <c r="F895" i="25"/>
  <c r="F897" i="25"/>
  <c r="F903" i="25"/>
  <c r="F902" i="25" s="1"/>
  <c r="F901" i="25" s="1"/>
  <c r="F907" i="25"/>
  <c r="F910" i="25"/>
  <c r="F909" i="25" s="1"/>
  <c r="F911" i="25"/>
  <c r="F917" i="25"/>
  <c r="F916" i="25" s="1"/>
  <c r="F919" i="25"/>
  <c r="F918" i="25" s="1"/>
  <c r="F920" i="25"/>
  <c r="F926" i="25"/>
  <c r="F925" i="25" s="1"/>
  <c r="F928" i="25"/>
  <c r="F927" i="25" s="1"/>
  <c r="F942" i="25"/>
  <c r="F941" i="25" s="1"/>
  <c r="F940" i="25" s="1"/>
  <c r="F939" i="25" s="1"/>
  <c r="F938" i="25" s="1"/>
  <c r="F946" i="25"/>
  <c r="F945" i="25" s="1"/>
  <c r="F944" i="25" s="1"/>
  <c r="F943" i="25" s="1"/>
  <c r="F951" i="25"/>
  <c r="F950" i="25" s="1"/>
  <c r="F949" i="25" s="1"/>
  <c r="F948" i="25" s="1"/>
  <c r="F956" i="25"/>
  <c r="F955" i="25" s="1"/>
  <c r="F954" i="25" s="1"/>
  <c r="F953" i="25" s="1"/>
  <c r="F961" i="25"/>
  <c r="F960" i="25" s="1"/>
  <c r="F959" i="25" s="1"/>
  <c r="F958" i="25" s="1"/>
  <c r="F966" i="25"/>
  <c r="F965" i="25" s="1"/>
  <c r="F964" i="25" s="1"/>
  <c r="F963" i="25" s="1"/>
  <c r="F971" i="25"/>
  <c r="F970" i="25" s="1"/>
  <c r="F969" i="25" s="1"/>
  <c r="F968" i="25" s="1"/>
  <c r="F976" i="25"/>
  <c r="F975" i="25" s="1"/>
  <c r="F974" i="25" s="1"/>
  <c r="F973" i="25" s="1"/>
  <c r="F981" i="25"/>
  <c r="F980" i="25" s="1"/>
  <c r="F979" i="25" s="1"/>
  <c r="F978" i="25" s="1"/>
  <c r="F987" i="25"/>
  <c r="F986" i="25"/>
  <c r="F985" i="25" s="1"/>
  <c r="F984" i="25" s="1"/>
  <c r="F983" i="25" s="1"/>
  <c r="F991" i="25"/>
  <c r="F994" i="25"/>
  <c r="F993" i="25" s="1"/>
  <c r="F996" i="25"/>
  <c r="F995" i="25"/>
  <c r="F1000" i="25"/>
  <c r="F999" i="25" s="1"/>
  <c r="F998" i="25" s="1"/>
  <c r="F997" i="25" s="1"/>
  <c r="F1006" i="25"/>
  <c r="F1009" i="25"/>
  <c r="F1008" i="25"/>
  <c r="F1010" i="25"/>
  <c r="F1016" i="25"/>
  <c r="F1015" i="25" s="1"/>
  <c r="F1014" i="25" s="1"/>
  <c r="F1013" i="25" s="1"/>
  <c r="F1012" i="25" s="1"/>
  <c r="F1027" i="25"/>
  <c r="F1026" i="25" s="1"/>
  <c r="F1025" i="25" s="1"/>
  <c r="F1024" i="25" s="1"/>
  <c r="F1032" i="25"/>
  <c r="F1031" i="25" s="1"/>
  <c r="F1030" i="25" s="1"/>
  <c r="F1029" i="25" s="1"/>
  <c r="F1037" i="25"/>
  <c r="F1036" i="25" s="1"/>
  <c r="F1035" i="25" s="1"/>
  <c r="F1034" i="25" s="1"/>
  <c r="F1044" i="25"/>
  <c r="F1043" i="25" s="1"/>
  <c r="F1042" i="25" s="1"/>
  <c r="F1041" i="25" s="1"/>
  <c r="F1040" i="25" s="1"/>
  <c r="F1039" i="25" s="1"/>
  <c r="F1049" i="25"/>
  <c r="F1048" i="25" s="1"/>
  <c r="F1047" i="25" s="1"/>
  <c r="F1046" i="25" s="1"/>
  <c r="F1054" i="25"/>
  <c r="F1053" i="25" s="1"/>
  <c r="F1052" i="25" s="1"/>
  <c r="F1051" i="25" s="1"/>
  <c r="F1060" i="25"/>
  <c r="F1059" i="25" s="1"/>
  <c r="F1058" i="25" s="1"/>
  <c r="F1057" i="25" s="1"/>
  <c r="F1056" i="25" s="1"/>
  <c r="F1065" i="25"/>
  <c r="F1064" i="25" s="1"/>
  <c r="F1063" i="25" s="1"/>
  <c r="F1062" i="25" s="1"/>
  <c r="F934" i="25"/>
  <c r="F936" i="25"/>
  <c r="F1070" i="25"/>
  <c r="F1069" i="25" s="1"/>
  <c r="F1068" i="25" s="1"/>
  <c r="F1067" i="25" s="1"/>
  <c r="G28" i="24"/>
  <c r="G35" i="24"/>
  <c r="G37" i="24"/>
  <c r="G40" i="24"/>
  <c r="G42" i="24"/>
  <c r="G53" i="24"/>
  <c r="G60" i="24"/>
  <c r="G62" i="24"/>
  <c r="G63" i="24"/>
  <c r="G67" i="24"/>
  <c r="G69" i="24"/>
  <c r="G79" i="24"/>
  <c r="G71" i="24"/>
  <c r="G74" i="24"/>
  <c r="G75" i="24"/>
  <c r="G81" i="24"/>
  <c r="G84" i="24"/>
  <c r="G88" i="24"/>
  <c r="G94" i="24"/>
  <c r="G98" i="24"/>
  <c r="G101" i="24"/>
  <c r="G104" i="24"/>
  <c r="G106" i="24"/>
  <c r="G109" i="24"/>
  <c r="G112" i="24"/>
  <c r="G115" i="24"/>
  <c r="G118" i="24"/>
  <c r="G129" i="24"/>
  <c r="G132" i="24"/>
  <c r="G136" i="24"/>
  <c r="G135" i="24"/>
  <c r="G139" i="24"/>
  <c r="G47" i="24"/>
  <c r="G151" i="24"/>
  <c r="G153" i="24"/>
  <c r="G155" i="24"/>
  <c r="G146" i="24"/>
  <c r="G164" i="24"/>
  <c r="G167" i="24"/>
  <c r="G170" i="24"/>
  <c r="G173" i="24"/>
  <c r="G176" i="24"/>
  <c r="G181" i="24"/>
  <c r="G184" i="24"/>
  <c r="G187" i="24"/>
  <c r="G190" i="24"/>
  <c r="G159" i="24"/>
  <c r="G197" i="24"/>
  <c r="G206" i="24"/>
  <c r="G209" i="24"/>
  <c r="G211" i="24"/>
  <c r="G203" i="24"/>
  <c r="G215" i="24"/>
  <c r="G223" i="24"/>
  <c r="G225" i="24"/>
  <c r="G226" i="24"/>
  <c r="G232" i="24"/>
  <c r="G240" i="24"/>
  <c r="G242" i="24"/>
  <c r="G245" i="24"/>
  <c r="G256" i="24"/>
  <c r="G261" i="24"/>
  <c r="G250" i="24"/>
  <c r="G275" i="24"/>
  <c r="G268" i="24"/>
  <c r="G290" i="24"/>
  <c r="G292" i="24"/>
  <c r="G294" i="24"/>
  <c r="G306" i="24"/>
  <c r="G300" i="24"/>
  <c r="G325" i="24"/>
  <c r="G318" i="24"/>
  <c r="G311" i="24"/>
  <c r="G340" i="24"/>
  <c r="G346" i="24"/>
  <c r="G353" i="24"/>
  <c r="G361" i="24"/>
  <c r="G363" i="24"/>
  <c r="G365" i="24"/>
  <c r="G600" i="24"/>
  <c r="G602" i="24"/>
  <c r="G605" i="24"/>
  <c r="G608" i="24"/>
  <c r="G623" i="24"/>
  <c r="G627" i="24"/>
  <c r="G620" i="24"/>
  <c r="G617" i="24"/>
  <c r="G632" i="24"/>
  <c r="G636" i="24"/>
  <c r="G638" i="24"/>
  <c r="G642" i="24"/>
  <c r="G646" i="24"/>
  <c r="G650" i="24"/>
  <c r="G652" i="24"/>
  <c r="G660" i="24"/>
  <c r="G662" i="24"/>
  <c r="G664" i="24"/>
  <c r="G679" i="24"/>
  <c r="G684" i="24"/>
  <c r="G690" i="24"/>
  <c r="G692" i="24"/>
  <c r="G695" i="24"/>
  <c r="G698" i="24"/>
  <c r="G702" i="24"/>
  <c r="G703" i="24"/>
  <c r="G720" i="24"/>
  <c r="G723" i="24"/>
  <c r="G670" i="24"/>
  <c r="G673" i="24"/>
  <c r="G594" i="24"/>
  <c r="G730" i="24"/>
  <c r="G739" i="24"/>
  <c r="G745" i="24"/>
  <c r="G749" i="24"/>
  <c r="G752" i="24"/>
  <c r="G756" i="24"/>
  <c r="G759" i="24"/>
  <c r="G770" i="24"/>
  <c r="G772" i="24"/>
  <c r="G776" i="24"/>
  <c r="G779" i="24"/>
  <c r="G782" i="24"/>
  <c r="G787" i="24"/>
  <c r="G790" i="24"/>
  <c r="G792" i="24"/>
  <c r="G795" i="24"/>
  <c r="G804" i="24"/>
  <c r="G806" i="24"/>
  <c r="G809" i="24"/>
  <c r="G813" i="24"/>
  <c r="G814" i="24"/>
  <c r="G817" i="24"/>
  <c r="G825" i="24"/>
  <c r="G827" i="24"/>
  <c r="G829" i="24"/>
  <c r="G835" i="24"/>
  <c r="G841" i="24"/>
  <c r="G848" i="24"/>
  <c r="G852" i="24"/>
  <c r="G853" i="24"/>
  <c r="G859" i="24"/>
  <c r="G862" i="24"/>
  <c r="G865" i="24"/>
  <c r="G872" i="24"/>
  <c r="G884" i="24"/>
  <c r="G888" i="24"/>
  <c r="G895" i="24"/>
  <c r="G898" i="24"/>
  <c r="G903" i="24"/>
  <c r="G910" i="24"/>
  <c r="G914" i="24"/>
  <c r="G926" i="24"/>
  <c r="G931" i="24"/>
  <c r="G932" i="24"/>
  <c r="G937" i="24"/>
  <c r="G938" i="24"/>
  <c r="G940" i="24"/>
  <c r="G944" i="24"/>
  <c r="G946" i="24"/>
  <c r="G949" i="24"/>
  <c r="G948" i="24" s="1"/>
  <c r="G951" i="24"/>
  <c r="G953" i="24"/>
  <c r="G952" i="24" s="1"/>
  <c r="G959" i="24"/>
  <c r="G961" i="24"/>
  <c r="G963" i="24"/>
  <c r="G920" i="24"/>
  <c r="G971" i="24"/>
  <c r="G972" i="24"/>
  <c r="G974" i="24"/>
  <c r="G980" i="24"/>
  <c r="G989" i="24"/>
  <c r="G996" i="24"/>
  <c r="G999" i="24"/>
  <c r="G1000" i="24"/>
  <c r="G1006" i="24"/>
  <c r="G1015" i="24"/>
  <c r="G1018" i="24"/>
  <c r="G1020" i="24"/>
  <c r="G1024" i="24"/>
  <c r="F833" i="21"/>
  <c r="F832" i="21" s="1"/>
  <c r="F831" i="21" s="1"/>
  <c r="F830" i="21" s="1"/>
  <c r="F829" i="21" s="1"/>
  <c r="F828" i="21" s="1"/>
  <c r="F818" i="21"/>
  <c r="F817" i="21" s="1"/>
  <c r="F820" i="21"/>
  <c r="F819" i="21" s="1"/>
  <c r="F821" i="21"/>
  <c r="F827" i="21"/>
  <c r="F826" i="21" s="1"/>
  <c r="F825" i="21" s="1"/>
  <c r="F824" i="21" s="1"/>
  <c r="F823" i="21" s="1"/>
  <c r="F790" i="21"/>
  <c r="F789" i="21" s="1"/>
  <c r="F788" i="21" s="1"/>
  <c r="F787" i="21" s="1"/>
  <c r="F786" i="21" s="1"/>
  <c r="F795" i="21"/>
  <c r="F794" i="21" s="1"/>
  <c r="F798" i="21"/>
  <c r="F797" i="21" s="1"/>
  <c r="F806" i="21"/>
  <c r="F805" i="21" s="1"/>
  <c r="F804" i="21" s="1"/>
  <c r="F803" i="21" s="1"/>
  <c r="F808" i="21"/>
  <c r="F810" i="21"/>
  <c r="F774" i="21"/>
  <c r="F616" i="21"/>
  <c r="F618" i="21"/>
  <c r="F431" i="21"/>
  <c r="F430" i="21" s="1"/>
  <c r="F429" i="21" s="1"/>
  <c r="F422" i="21"/>
  <c r="F421" i="21"/>
  <c r="F420" i="21" s="1"/>
  <c r="F424" i="21"/>
  <c r="F423" i="21" s="1"/>
  <c r="F427" i="21"/>
  <c r="F426" i="21" s="1"/>
  <c r="F433" i="21"/>
  <c r="F432" i="21" s="1"/>
  <c r="F436" i="21"/>
  <c r="F435" i="21" s="1"/>
  <c r="F440" i="21"/>
  <c r="F439" i="21" s="1"/>
  <c r="F438" i="21" s="1"/>
  <c r="F442" i="21"/>
  <c r="F441" i="21" s="1"/>
  <c r="F446" i="21"/>
  <c r="F445" i="21"/>
  <c r="F444" i="21" s="1"/>
  <c r="F449" i="21"/>
  <c r="F448" i="21" s="1"/>
  <c r="F447" i="21" s="1"/>
  <c r="F453" i="21"/>
  <c r="F456" i="21"/>
  <c r="F455" i="21" s="1"/>
  <c r="F458" i="21"/>
  <c r="F457" i="21" s="1"/>
  <c r="F461" i="21"/>
  <c r="F460" i="21" s="1"/>
  <c r="F465" i="21"/>
  <c r="F464" i="21" s="1"/>
  <c r="F469" i="21"/>
  <c r="F468" i="21" s="1"/>
  <c r="F467" i="21" s="1"/>
  <c r="F471" i="21"/>
  <c r="F470" i="21" s="1"/>
  <c r="F351" i="21"/>
  <c r="F350" i="21" s="1"/>
  <c r="F349" i="21" s="1"/>
  <c r="F355" i="21"/>
  <c r="F354" i="21" s="1"/>
  <c r="F362" i="21"/>
  <c r="F361" i="21" s="1"/>
  <c r="F365" i="21"/>
  <c r="F364" i="21" s="1"/>
  <c r="F378" i="21"/>
  <c r="F377" i="21" s="1"/>
  <c r="F382" i="21"/>
  <c r="F381" i="21" s="1"/>
  <c r="F380" i="21" s="1"/>
  <c r="F375" i="21"/>
  <c r="F374" i="21" s="1"/>
  <c r="F369" i="21"/>
  <c r="F368" i="21" s="1"/>
  <c r="F392" i="21"/>
  <c r="F391" i="21" s="1"/>
  <c r="F390" i="21" s="1"/>
  <c r="F394" i="21"/>
  <c r="F393" i="21" s="1"/>
  <c r="F401" i="21"/>
  <c r="F400" i="21" s="1"/>
  <c r="F404" i="21"/>
  <c r="F403" i="21" s="1"/>
  <c r="F402" i="21" s="1"/>
  <c r="F407" i="21"/>
  <c r="F406" i="21" s="1"/>
  <c r="F411" i="21"/>
  <c r="F410" i="21"/>
  <c r="F409" i="21" s="1"/>
  <c r="F413" i="21"/>
  <c r="F412" i="21" s="1"/>
  <c r="F417" i="21"/>
  <c r="F416" i="21" s="1"/>
  <c r="F415" i="21" s="1"/>
  <c r="F489" i="21"/>
  <c r="F488" i="21" s="1"/>
  <c r="F487" i="21" s="1"/>
  <c r="F491" i="21"/>
  <c r="F494" i="21"/>
  <c r="F493" i="21" s="1"/>
  <c r="F501" i="21"/>
  <c r="F500" i="21" s="1"/>
  <c r="F499" i="21" s="1"/>
  <c r="F503" i="21"/>
  <c r="F506" i="21"/>
  <c r="F505" i="21" s="1"/>
  <c r="F510" i="21"/>
  <c r="F509" i="21" s="1"/>
  <c r="F511" i="21"/>
  <c r="F514" i="21"/>
  <c r="F513" i="21"/>
  <c r="F520" i="21"/>
  <c r="F519" i="21" s="1"/>
  <c r="F518" i="21" s="1"/>
  <c r="F522" i="21"/>
  <c r="F524" i="21"/>
  <c r="F544" i="21"/>
  <c r="F543" i="21" s="1"/>
  <c r="F548" i="21"/>
  <c r="F547" i="21" s="1"/>
  <c r="F552" i="21"/>
  <c r="F551" i="21" s="1"/>
  <c r="F550" i="21" s="1"/>
  <c r="F562" i="21"/>
  <c r="F561" i="21" s="1"/>
  <c r="F559" i="21"/>
  <c r="F558" i="21" s="1"/>
  <c r="F557" i="21" s="1"/>
  <c r="F567" i="21"/>
  <c r="F566" i="21" s="1"/>
  <c r="F565" i="21" s="1"/>
  <c r="F574" i="21"/>
  <c r="F573" i="21" s="1"/>
  <c r="F578" i="21"/>
  <c r="F577" i="21" s="1"/>
  <c r="F584" i="21"/>
  <c r="F583" i="21" s="1"/>
  <c r="F582" i="21" s="1"/>
  <c r="F581" i="21" s="1"/>
  <c r="F580" i="21" s="1"/>
  <c r="F594" i="21"/>
  <c r="F593" i="21" s="1"/>
  <c r="F592" i="21" s="1"/>
  <c r="F591" i="21" s="1"/>
  <c r="F590" i="21" s="1"/>
  <c r="F588" i="21"/>
  <c r="F587" i="21" s="1"/>
  <c r="F586" i="21" s="1"/>
  <c r="F600" i="21"/>
  <c r="F599" i="21" s="1"/>
  <c r="F603" i="21"/>
  <c r="F602" i="21" s="1"/>
  <c r="F606" i="21"/>
  <c r="F605" i="21" s="1"/>
  <c r="F611" i="21"/>
  <c r="F610" i="21" s="1"/>
  <c r="F609" i="21" s="1"/>
  <c r="F608" i="21" s="1"/>
  <c r="F624" i="21"/>
  <c r="F623" i="21" s="1"/>
  <c r="F629" i="21"/>
  <c r="F630" i="21"/>
  <c r="F635" i="21"/>
  <c r="F634" i="21" s="1"/>
  <c r="F636" i="21"/>
  <c r="F638" i="21"/>
  <c r="F642" i="21"/>
  <c r="F641" i="21"/>
  <c r="F644" i="21"/>
  <c r="F643" i="21" s="1"/>
  <c r="F647" i="21"/>
  <c r="F646" i="21" s="1"/>
  <c r="F649" i="21"/>
  <c r="F648" i="21" s="1"/>
  <c r="F651" i="21"/>
  <c r="F650" i="21" s="1"/>
  <c r="F657" i="21"/>
  <c r="F656" i="21" s="1"/>
  <c r="F655" i="21" s="1"/>
  <c r="F659" i="21"/>
  <c r="F661" i="21"/>
  <c r="F666" i="21"/>
  <c r="F665" i="21" s="1"/>
  <c r="F664" i="21" s="1"/>
  <c r="F668" i="21"/>
  <c r="F667" i="21" s="1"/>
  <c r="F674" i="21"/>
  <c r="F673" i="21" s="1"/>
  <c r="F678" i="21"/>
  <c r="F677" i="21" s="1"/>
  <c r="F679" i="21"/>
  <c r="F703" i="21"/>
  <c r="F702" i="21" s="1"/>
  <c r="F706" i="21"/>
  <c r="F705" i="21" s="1"/>
  <c r="F709" i="21"/>
  <c r="F708" i="21" s="1"/>
  <c r="F712" i="21"/>
  <c r="F711" i="21" s="1"/>
  <c r="F715" i="21"/>
  <c r="F714" i="21" s="1"/>
  <c r="F718" i="21"/>
  <c r="F717" i="21" s="1"/>
  <c r="F721" i="21"/>
  <c r="F720" i="21" s="1"/>
  <c r="F728" i="21"/>
  <c r="F727" i="21" s="1"/>
  <c r="F726" i="21" s="1"/>
  <c r="F731" i="21"/>
  <c r="F730" i="21"/>
  <c r="F733" i="21"/>
  <c r="F732" i="21" s="1"/>
  <c r="F736" i="21"/>
  <c r="F738" i="21"/>
  <c r="F741" i="21"/>
  <c r="F740" i="21" s="1"/>
  <c r="F748" i="21"/>
  <c r="F747" i="21" s="1"/>
  <c r="F746" i="21" s="1"/>
  <c r="F745" i="21" s="1"/>
  <c r="F744" i="21" s="1"/>
  <c r="F753" i="21"/>
  <c r="F752" i="21" s="1"/>
  <c r="F751" i="21" s="1"/>
  <c r="F759" i="21"/>
  <c r="F760" i="21"/>
  <c r="F762" i="21"/>
  <c r="F761" i="21" s="1"/>
  <c r="F770" i="21"/>
  <c r="F769" i="21" s="1"/>
  <c r="F773" i="21"/>
  <c r="F776" i="21"/>
  <c r="F775" i="21" s="1"/>
  <c r="F777" i="21"/>
  <c r="F767" i="21"/>
  <c r="F766" i="21" s="1"/>
  <c r="F783" i="21"/>
  <c r="F782" i="21" s="1"/>
  <c r="F781" i="21" s="1"/>
  <c r="F780" i="21" s="1"/>
  <c r="F779" i="21" s="1"/>
  <c r="F256" i="21"/>
  <c r="F255" i="21"/>
  <c r="F254" i="21" s="1"/>
  <c r="F259" i="21"/>
  <c r="F258" i="21" s="1"/>
  <c r="F260" i="21"/>
  <c r="F264" i="21"/>
  <c r="F263" i="21" s="1"/>
  <c r="F265" i="21"/>
  <c r="F271" i="21"/>
  <c r="F270" i="21" s="1"/>
  <c r="F275" i="21"/>
  <c r="F274" i="21" s="1"/>
  <c r="F273" i="21" s="1"/>
  <c r="F277" i="21"/>
  <c r="F276" i="21" s="1"/>
  <c r="F281" i="21"/>
  <c r="F280" i="21"/>
  <c r="F279" i="21" s="1"/>
  <c r="F286" i="21"/>
  <c r="F285" i="21" s="1"/>
  <c r="F287" i="21"/>
  <c r="F289" i="21"/>
  <c r="F293" i="21"/>
  <c r="F292" i="21" s="1"/>
  <c r="F291" i="21" s="1"/>
  <c r="F297" i="21"/>
  <c r="F296" i="21" s="1"/>
  <c r="F300" i="21"/>
  <c r="F299" i="21" s="1"/>
  <c r="F303" i="21"/>
  <c r="F302" i="21" s="1"/>
  <c r="F306" i="21"/>
  <c r="F305" i="21" s="1"/>
  <c r="F309" i="21"/>
  <c r="F308" i="21" s="1"/>
  <c r="F315" i="21"/>
  <c r="F314" i="21" s="1"/>
  <c r="F313" i="21" s="1"/>
  <c r="F312" i="21" s="1"/>
  <c r="F311" i="21" s="1"/>
  <c r="F319" i="21"/>
  <c r="F318" i="21" s="1"/>
  <c r="F317" i="21" s="1"/>
  <c r="F321" i="21"/>
  <c r="F320" i="21" s="1"/>
  <c r="F324" i="21"/>
  <c r="F323" i="21" s="1"/>
  <c r="F327" i="21"/>
  <c r="F326" i="21" s="1"/>
  <c r="F332" i="21"/>
  <c r="F331" i="21" s="1"/>
  <c r="F335" i="21"/>
  <c r="F334" i="21" s="1"/>
  <c r="F338" i="21"/>
  <c r="F337" i="21" s="1"/>
  <c r="F341" i="21"/>
  <c r="F340" i="21" s="1"/>
  <c r="F344" i="21"/>
  <c r="F343" i="21" s="1"/>
  <c r="F530" i="21"/>
  <c r="F529" i="21" s="1"/>
  <c r="F533" i="21"/>
  <c r="F532" i="21" s="1"/>
  <c r="F540" i="21"/>
  <c r="F539" i="21" s="1"/>
  <c r="F224" i="21"/>
  <c r="F225" i="21"/>
  <c r="F227" i="21"/>
  <c r="F234" i="21"/>
  <c r="F233" i="21" s="1"/>
  <c r="F232" i="21" s="1"/>
  <c r="F236" i="21"/>
  <c r="F238" i="21"/>
  <c r="F242" i="21"/>
  <c r="F241" i="21" s="1"/>
  <c r="F246" i="21"/>
  <c r="F245" i="21" s="1"/>
  <c r="F244" i="21" s="1"/>
  <c r="F251" i="21"/>
  <c r="F250" i="21" s="1"/>
  <c r="F249" i="21" s="1"/>
  <c r="F223" i="21"/>
  <c r="F198" i="21"/>
  <c r="F197" i="21" s="1"/>
  <c r="F196" i="21" s="1"/>
  <c r="F195" i="21" s="1"/>
  <c r="F194" i="21" s="1"/>
  <c r="F192" i="21"/>
  <c r="F191" i="21" s="1"/>
  <c r="F189" i="21"/>
  <c r="F188" i="21" s="1"/>
  <c r="F130" i="21"/>
  <c r="F129" i="21" s="1"/>
  <c r="F128" i="21" s="1"/>
  <c r="F133" i="21"/>
  <c r="F132" i="21" s="1"/>
  <c r="F131" i="21" s="1"/>
  <c r="F136" i="21"/>
  <c r="F135" i="21" s="1"/>
  <c r="F139" i="21"/>
  <c r="F138" i="21" s="1"/>
  <c r="F143" i="21"/>
  <c r="F142" i="21" s="1"/>
  <c r="F141" i="21" s="1"/>
  <c r="F146" i="21"/>
  <c r="F145" i="21" s="1"/>
  <c r="F144" i="21" s="1"/>
  <c r="F151" i="21"/>
  <c r="F150" i="21" s="1"/>
  <c r="F149" i="21" s="1"/>
  <c r="F148" i="21" s="1"/>
  <c r="F158" i="21"/>
  <c r="F157" i="21" s="1"/>
  <c r="F160" i="21"/>
  <c r="F159" i="21" s="1"/>
  <c r="F161" i="21"/>
  <c r="F165" i="21"/>
  <c r="F164" i="21" s="1"/>
  <c r="F167" i="21"/>
  <c r="F166" i="21" s="1"/>
  <c r="F177" i="21"/>
  <c r="F176" i="21"/>
  <c r="F175" i="21" s="1"/>
  <c r="F172" i="21"/>
  <c r="F171" i="21" s="1"/>
  <c r="F173" i="21"/>
  <c r="F182" i="21"/>
  <c r="F181" i="21" s="1"/>
  <c r="F187" i="21"/>
  <c r="F185" i="21" s="1"/>
  <c r="F184" i="21" s="1"/>
  <c r="F210" i="21"/>
  <c r="F209" i="21" s="1"/>
  <c r="F212" i="21"/>
  <c r="F211" i="21" s="1"/>
  <c r="F214" i="21"/>
  <c r="F213" i="21"/>
  <c r="F205" i="21"/>
  <c r="F204" i="21" s="1"/>
  <c r="F122" i="21"/>
  <c r="F121" i="21" s="1"/>
  <c r="F125" i="21"/>
  <c r="F124" i="21" s="1"/>
  <c r="F111" i="21"/>
  <c r="F110" i="21" s="1"/>
  <c r="F109" i="21" s="1"/>
  <c r="F113" i="21"/>
  <c r="F112" i="21" s="1"/>
  <c r="F116" i="21"/>
  <c r="F115" i="21" s="1"/>
  <c r="F119" i="21"/>
  <c r="F118" i="21" s="1"/>
  <c r="F95" i="21"/>
  <c r="F94" i="21" s="1"/>
  <c r="F93" i="21" s="1"/>
  <c r="F92" i="21" s="1"/>
  <c r="F91" i="21" s="1"/>
  <c r="F90" i="21" s="1"/>
  <c r="F79" i="21"/>
  <c r="F78" i="21" s="1"/>
  <c r="F77" i="21" s="1"/>
  <c r="F81" i="21"/>
  <c r="F83" i="21"/>
  <c r="F89" i="21"/>
  <c r="F88" i="21" s="1"/>
  <c r="F87" i="21" s="1"/>
  <c r="F86" i="21" s="1"/>
  <c r="F85" i="21" s="1"/>
  <c r="F101" i="21"/>
  <c r="F100" i="21" s="1"/>
  <c r="F99" i="21" s="1"/>
  <c r="F98" i="21" s="1"/>
  <c r="F105" i="21"/>
  <c r="F104" i="21" s="1"/>
  <c r="F103" i="21" s="1"/>
  <c r="F108" i="21"/>
  <c r="F107" i="21" s="1"/>
  <c r="F106" i="21" s="1"/>
  <c r="F49" i="21"/>
  <c r="F52" i="21"/>
  <c r="F51" i="21" s="1"/>
  <c r="F55" i="21"/>
  <c r="F54" i="21" s="1"/>
  <c r="F56" i="21"/>
  <c r="F62" i="21"/>
  <c r="F61" i="21" s="1"/>
  <c r="F60" i="21" s="1"/>
  <c r="F59" i="21" s="1"/>
  <c r="F58" i="21" s="1"/>
  <c r="F69" i="21"/>
  <c r="F68" i="21" s="1"/>
  <c r="F67" i="21" s="1"/>
  <c r="F72" i="21"/>
  <c r="F71" i="21" s="1"/>
  <c r="F74" i="21"/>
  <c r="F73" i="21" s="1"/>
  <c r="F36" i="21"/>
  <c r="F35" i="21" s="1"/>
  <c r="F37" i="21"/>
  <c r="F44" i="21"/>
  <c r="F43" i="21" s="1"/>
  <c r="F42" i="21" s="1"/>
  <c r="F41" i="21" s="1"/>
  <c r="F40" i="21" s="1"/>
  <c r="F26" i="21"/>
  <c r="F25" i="21" s="1"/>
  <c r="F24" i="21" s="1"/>
  <c r="F23" i="21" s="1"/>
  <c r="F22" i="21" s="1"/>
  <c r="F21" i="21" s="1"/>
  <c r="F33" i="21"/>
  <c r="F32" i="21" s="1"/>
  <c r="F31" i="21" s="1"/>
  <c r="F30" i="21" s="1"/>
  <c r="F29" i="21" s="1"/>
  <c r="C22" i="22"/>
  <c r="C24" i="22"/>
  <c r="C26" i="22"/>
  <c r="C36" i="22"/>
  <c r="C41" i="22"/>
  <c r="C44" i="22"/>
  <c r="C27" i="14"/>
  <c r="C25" i="14"/>
  <c r="C24" i="14" s="1"/>
  <c r="C44" i="14"/>
  <c r="C43" i="14" s="1"/>
  <c r="C42" i="14" s="1"/>
  <c r="C26" i="14"/>
  <c r="C31" i="14"/>
  <c r="C29" i="14"/>
  <c r="C28" i="14"/>
  <c r="C35" i="14"/>
  <c r="C34" i="14" s="1"/>
  <c r="C33" i="14" s="1"/>
  <c r="G614" i="24" l="1"/>
  <c r="G803" i="24"/>
  <c r="G789" i="24"/>
  <c r="G66" i="24"/>
  <c r="G36" i="24"/>
  <c r="G808" i="24"/>
  <c r="G324" i="24"/>
  <c r="G34" i="24"/>
  <c r="G405" i="24"/>
  <c r="G380" i="24"/>
  <c r="G436" i="24"/>
  <c r="G958" i="24"/>
  <c r="G781" i="24"/>
  <c r="G769" i="24"/>
  <c r="G593" i="24"/>
  <c r="G659" i="24"/>
  <c r="G641" i="24"/>
  <c r="G599" i="24"/>
  <c r="G289" i="24"/>
  <c r="G239" i="24"/>
  <c r="G238" i="24" s="1"/>
  <c r="G222" i="24"/>
  <c r="G150" i="24"/>
  <c r="G103" i="24"/>
  <c r="G87" i="24"/>
  <c r="G73" i="24"/>
  <c r="G68" i="24"/>
  <c r="G61" i="24"/>
  <c r="G39" i="24"/>
  <c r="G581" i="24"/>
  <c r="G555" i="24"/>
  <c r="G427" i="24"/>
  <c r="G402" i="24"/>
  <c r="G689" i="24"/>
  <c r="G626" i="24"/>
  <c r="G625" i="24" s="1"/>
  <c r="G224" i="24"/>
  <c r="G93" i="24"/>
  <c r="G537" i="24"/>
  <c r="G714" i="24"/>
  <c r="G1019" i="24"/>
  <c r="G840" i="24"/>
  <c r="G812" i="24"/>
  <c r="G778" i="24"/>
  <c r="G775" i="24" s="1"/>
  <c r="G360" i="24"/>
  <c r="G267" i="24"/>
  <c r="G231" i="24"/>
  <c r="G46" i="24"/>
  <c r="G100" i="24"/>
  <c r="G59" i="24"/>
  <c r="G527" i="24"/>
  <c r="G564" i="24"/>
  <c r="G439" i="24"/>
  <c r="G410" i="24"/>
  <c r="G415" i="24"/>
  <c r="G122" i="24"/>
  <c r="G1014" i="24"/>
  <c r="G995" i="24"/>
  <c r="G950" i="24"/>
  <c r="G943" i="24"/>
  <c r="G816" i="24"/>
  <c r="G152" i="24"/>
  <c r="G41" i="24"/>
  <c r="G571" i="24"/>
  <c r="G1017" i="24"/>
  <c r="G998" i="24"/>
  <c r="G945" i="24"/>
  <c r="G936" i="24"/>
  <c r="G894" i="24"/>
  <c r="G851" i="24"/>
  <c r="G834" i="24"/>
  <c r="G824" i="24"/>
  <c r="G823" i="24" s="1"/>
  <c r="G738" i="24"/>
  <c r="G701" i="24"/>
  <c r="G700" i="24" s="1"/>
  <c r="G649" i="24"/>
  <c r="G635" i="24"/>
  <c r="G317" i="24"/>
  <c r="G274" i="24"/>
  <c r="G244" i="24"/>
  <c r="G154" i="24"/>
  <c r="G97" i="24"/>
  <c r="G78" i="24"/>
  <c r="G52" i="24"/>
  <c r="G561" i="24"/>
  <c r="G560" i="24" s="1"/>
  <c r="G432" i="24"/>
  <c r="G421" i="24"/>
  <c r="G392" i="24"/>
  <c r="G434" i="24"/>
  <c r="G711" i="24"/>
  <c r="G568" i="24"/>
  <c r="G567" i="24" s="1"/>
  <c r="G574" i="24"/>
  <c r="G698" i="30"/>
  <c r="F253" i="30"/>
  <c r="G389" i="31"/>
  <c r="G388" i="31" s="1"/>
  <c r="G387" i="31" s="1"/>
  <c r="G727" i="31"/>
  <c r="G726" i="31" s="1"/>
  <c r="G721" i="31" s="1"/>
  <c r="G344" i="31"/>
  <c r="G343" i="31" s="1"/>
  <c r="G342" i="31" s="1"/>
  <c r="F196" i="31"/>
  <c r="F195" i="31" s="1"/>
  <c r="F194" i="31" s="1"/>
  <c r="G138" i="31"/>
  <c r="F769" i="31"/>
  <c r="F768" i="31" s="1"/>
  <c r="F763" i="31" s="1"/>
  <c r="F335" i="31"/>
  <c r="F334" i="31" s="1"/>
  <c r="F333" i="31" s="1"/>
  <c r="F332" i="31" s="1"/>
  <c r="G504" i="31"/>
  <c r="G481" i="31"/>
  <c r="G480" i="31" s="1"/>
  <c r="G479" i="31" s="1"/>
  <c r="G473" i="31" s="1"/>
  <c r="G472" i="31" s="1"/>
  <c r="G471" i="31" s="1"/>
  <c r="F745" i="31"/>
  <c r="F744" i="31" s="1"/>
  <c r="F743" i="31" s="1"/>
  <c r="C37" i="32"/>
  <c r="C36" i="32" s="1"/>
  <c r="C35" i="32" s="1"/>
  <c r="C34" i="32" s="1"/>
  <c r="C33" i="32" s="1"/>
  <c r="G745" i="31"/>
  <c r="G744" i="31" s="1"/>
  <c r="G743" i="31" s="1"/>
  <c r="G737" i="31" s="1"/>
  <c r="G196" i="31"/>
  <c r="G195" i="31" s="1"/>
  <c r="G194" i="31" s="1"/>
  <c r="G188" i="31" s="1"/>
  <c r="G187" i="31" s="1"/>
  <c r="F782" i="31"/>
  <c r="F781" i="31" s="1"/>
  <c r="F780" i="31" s="1"/>
  <c r="F774" i="31" s="1"/>
  <c r="F344" i="31"/>
  <c r="F343" i="31" s="1"/>
  <c r="F342" i="31" s="1"/>
  <c r="G561" i="31"/>
  <c r="G560" i="31" s="1"/>
  <c r="G559" i="31" s="1"/>
  <c r="G558" i="31" s="1"/>
  <c r="F107" i="31"/>
  <c r="F795" i="31"/>
  <c r="F794" i="31" s="1"/>
  <c r="F793" i="31" s="1"/>
  <c r="G174" i="31"/>
  <c r="G173" i="31" s="1"/>
  <c r="G172" i="31" s="1"/>
  <c r="G171" i="31" s="1"/>
  <c r="G487" i="31"/>
  <c r="F138" i="31"/>
  <c r="G395" i="31"/>
  <c r="G431" i="31"/>
  <c r="G782" i="31"/>
  <c r="G781" i="31" s="1"/>
  <c r="G780" i="31" s="1"/>
  <c r="G774" i="31" s="1"/>
  <c r="G769" i="31"/>
  <c r="G768" i="31" s="1"/>
  <c r="G763" i="31" s="1"/>
  <c r="G699" i="31"/>
  <c r="G698" i="31" s="1"/>
  <c r="G697" i="31" s="1"/>
  <c r="G691" i="31" s="1"/>
  <c r="G690" i="31" s="1"/>
  <c r="G670" i="31" s="1"/>
  <c r="G351" i="31"/>
  <c r="G350" i="31" s="1"/>
  <c r="G349" i="31" s="1"/>
  <c r="F389" i="31"/>
  <c r="F388" i="31" s="1"/>
  <c r="F387" i="31" s="1"/>
  <c r="F868" i="31"/>
  <c r="F867" i="31" s="1"/>
  <c r="F866" i="31" s="1"/>
  <c r="F853" i="31"/>
  <c r="F852" i="31" s="1"/>
  <c r="F851" i="31" s="1"/>
  <c r="F561" i="31"/>
  <c r="F560" i="31" s="1"/>
  <c r="F559" i="31" s="1"/>
  <c r="F558" i="31" s="1"/>
  <c r="F381" i="31"/>
  <c r="F380" i="31" s="1"/>
  <c r="F379" i="31" s="1"/>
  <c r="F174" i="31"/>
  <c r="F173" i="31" s="1"/>
  <c r="F172" i="31" s="1"/>
  <c r="F171" i="31" s="1"/>
  <c r="F170" i="31" s="1"/>
  <c r="F704" i="31"/>
  <c r="G170" i="31"/>
  <c r="F481" i="31"/>
  <c r="F480" i="31" s="1"/>
  <c r="F479" i="31" s="1"/>
  <c r="F473" i="31" s="1"/>
  <c r="F472" i="31" s="1"/>
  <c r="F471" i="31" s="1"/>
  <c r="G562" i="30"/>
  <c r="F758" i="21"/>
  <c r="F757" i="21" s="1"/>
  <c r="F756" i="21" s="1"/>
  <c r="F755" i="21" s="1"/>
  <c r="F628" i="21"/>
  <c r="F627" i="21" s="1"/>
  <c r="F622" i="21" s="1"/>
  <c r="H681" i="29"/>
  <c r="H677" i="29" s="1"/>
  <c r="H676" i="29" s="1"/>
  <c r="H675" i="29" s="1"/>
  <c r="H674" i="29" s="1"/>
  <c r="H673" i="29" s="1"/>
  <c r="H660" i="29"/>
  <c r="H656" i="29" s="1"/>
  <c r="H655" i="29" s="1"/>
  <c r="H654" i="29" s="1"/>
  <c r="H438" i="29"/>
  <c r="H434" i="29" s="1"/>
  <c r="H433" i="29" s="1"/>
  <c r="H432" i="29" s="1"/>
  <c r="H189" i="29"/>
  <c r="H320" i="29"/>
  <c r="H315" i="29" s="1"/>
  <c r="H314" i="29" s="1"/>
  <c r="H313" i="29" s="1"/>
  <c r="H306" i="29" s="1"/>
  <c r="H770" i="29"/>
  <c r="H769" i="29" s="1"/>
  <c r="H764" i="29" s="1"/>
  <c r="G620" i="29"/>
  <c r="H705" i="29"/>
  <c r="G68" i="29"/>
  <c r="G464" i="29"/>
  <c r="G463" i="29" s="1"/>
  <c r="G758" i="29"/>
  <c r="G735" i="29"/>
  <c r="G713" i="29"/>
  <c r="G695" i="29"/>
  <c r="G679" i="29"/>
  <c r="G667" i="29"/>
  <c r="G649" i="29"/>
  <c r="G603" i="29"/>
  <c r="G589" i="29"/>
  <c r="G496" i="29"/>
  <c r="G420" i="29"/>
  <c r="G411" i="29"/>
  <c r="G390" i="29"/>
  <c r="G342" i="29"/>
  <c r="G331" i="29"/>
  <c r="G310" i="29"/>
  <c r="G288" i="29"/>
  <c r="G192" i="29"/>
  <c r="G173" i="29"/>
  <c r="G159" i="29"/>
  <c r="G647" i="29"/>
  <c r="H798" i="29"/>
  <c r="H712" i="29"/>
  <c r="H711" i="29" s="1"/>
  <c r="H710" i="29" s="1"/>
  <c r="H333" i="29"/>
  <c r="H329" i="29" s="1"/>
  <c r="G231" i="29"/>
  <c r="G221" i="29"/>
  <c r="G275" i="29"/>
  <c r="G259" i="29"/>
  <c r="G44" i="29"/>
  <c r="G27" i="29"/>
  <c r="G59" i="29"/>
  <c r="G481" i="29"/>
  <c r="G473" i="29"/>
  <c r="G533" i="29"/>
  <c r="H556" i="29"/>
  <c r="H555" i="29" s="1"/>
  <c r="H554" i="29" s="1"/>
  <c r="G121" i="29"/>
  <c r="G109" i="29"/>
  <c r="G96" i="29"/>
  <c r="G81" i="29"/>
  <c r="G125" i="29"/>
  <c r="G369" i="29"/>
  <c r="G358" i="29"/>
  <c r="G351" i="29"/>
  <c r="G129" i="29"/>
  <c r="G765" i="29"/>
  <c r="G716" i="29"/>
  <c r="G633" i="29"/>
  <c r="G606" i="29"/>
  <c r="G423" i="29"/>
  <c r="G398" i="29"/>
  <c r="G318" i="29"/>
  <c r="G196" i="29"/>
  <c r="G139" i="29"/>
  <c r="G132" i="29"/>
  <c r="G549" i="29"/>
  <c r="G507" i="29"/>
  <c r="G807" i="29"/>
  <c r="G99" i="29"/>
  <c r="G85" i="29"/>
  <c r="G852" i="29"/>
  <c r="G833" i="29"/>
  <c r="G776" i="29"/>
  <c r="G751" i="29"/>
  <c r="G732" i="29"/>
  <c r="G688" i="29"/>
  <c r="G671" i="29"/>
  <c r="G660" i="29"/>
  <c r="G643" i="29"/>
  <c r="G626" i="29"/>
  <c r="G613" i="29"/>
  <c r="G599" i="29"/>
  <c r="G448" i="29"/>
  <c r="G447" i="29" s="1"/>
  <c r="G429" i="29"/>
  <c r="G417" i="29"/>
  <c r="G405" i="29"/>
  <c r="G387" i="29"/>
  <c r="G339" i="29"/>
  <c r="G303" i="29"/>
  <c r="G243" i="29"/>
  <c r="G186" i="29"/>
  <c r="G170" i="29"/>
  <c r="G156" i="29"/>
  <c r="G223" i="29"/>
  <c r="G269" i="29"/>
  <c r="G65" i="29"/>
  <c r="G469" i="29"/>
  <c r="G461" i="29"/>
  <c r="G560" i="29"/>
  <c r="G547" i="29"/>
  <c r="G528" i="29"/>
  <c r="G817" i="29"/>
  <c r="G118" i="29"/>
  <c r="G105" i="29"/>
  <c r="G93" i="29"/>
  <c r="G74" i="29"/>
  <c r="G522" i="29"/>
  <c r="G574" i="29"/>
  <c r="G355" i="29"/>
  <c r="G348" i="29"/>
  <c r="G486" i="29"/>
  <c r="G826" i="29"/>
  <c r="G742" i="29"/>
  <c r="G703" i="29"/>
  <c r="G658" i="29"/>
  <c r="G596" i="29"/>
  <c r="G435" i="29"/>
  <c r="G378" i="29"/>
  <c r="G281" i="29"/>
  <c r="G212" i="29"/>
  <c r="G176" i="29"/>
  <c r="G162" i="29"/>
  <c r="G237" i="29"/>
  <c r="G34" i="29"/>
  <c r="G61" i="29"/>
  <c r="G52" i="29"/>
  <c r="G475" i="29"/>
  <c r="G536" i="29"/>
  <c r="G112" i="29"/>
  <c r="G87" i="29"/>
  <c r="G516" i="29"/>
  <c r="G363" i="29"/>
  <c r="G362" i="29" s="1"/>
  <c r="G843" i="29"/>
  <c r="G796" i="29"/>
  <c r="G769" i="29"/>
  <c r="G746" i="29"/>
  <c r="G723" i="29"/>
  <c r="G637" i="29"/>
  <c r="G623" i="29"/>
  <c r="G610" i="29"/>
  <c r="G609" i="29" s="1"/>
  <c r="G581" i="29"/>
  <c r="G426" i="29"/>
  <c r="G414" i="29"/>
  <c r="G401" i="29"/>
  <c r="G384" i="29"/>
  <c r="G297" i="29"/>
  <c r="G250" i="29"/>
  <c r="G204" i="29"/>
  <c r="G179" i="29"/>
  <c r="G165" i="29"/>
  <c r="G153" i="29"/>
  <c r="G144" i="29"/>
  <c r="G37" i="29"/>
  <c r="G54" i="29"/>
  <c r="G479" i="29"/>
  <c r="G467" i="29"/>
  <c r="G458" i="29"/>
  <c r="G557" i="29"/>
  <c r="G539" i="29"/>
  <c r="G510" i="29"/>
  <c r="G811" i="29"/>
  <c r="G115" i="29"/>
  <c r="G102" i="29"/>
  <c r="G90" i="29"/>
  <c r="G77" i="29"/>
  <c r="G519" i="29"/>
  <c r="G572" i="29"/>
  <c r="G672" i="24"/>
  <c r="G645" i="24"/>
  <c r="G548" i="24"/>
  <c r="G391" i="24"/>
  <c r="G979" i="24"/>
  <c r="G925" i="24"/>
  <c r="G864" i="24"/>
  <c r="G694" i="24"/>
  <c r="G619" i="24"/>
  <c r="G183" i="24"/>
  <c r="G138" i="24"/>
  <c r="G557" i="24"/>
  <c r="G861" i="24"/>
  <c r="G794" i="24"/>
  <c r="G755" i="24"/>
  <c r="G669" i="24"/>
  <c r="G651" i="24"/>
  <c r="G323" i="24"/>
  <c r="G249" i="24"/>
  <c r="G180" i="24"/>
  <c r="G134" i="24"/>
  <c r="G554" i="24"/>
  <c r="G545" i="24"/>
  <c r="G438" i="24"/>
  <c r="G124" i="24"/>
  <c r="G919" i="24"/>
  <c r="G883" i="24"/>
  <c r="G744" i="24"/>
  <c r="G678" i="24"/>
  <c r="G352" i="24"/>
  <c r="G196" i="24"/>
  <c r="G108" i="24"/>
  <c r="G83" i="24"/>
  <c r="G973" i="24"/>
  <c r="G913" i="24"/>
  <c r="G771" i="24"/>
  <c r="G691" i="24"/>
  <c r="G345" i="24"/>
  <c r="G166" i="24"/>
  <c r="G117" i="24"/>
  <c r="G96" i="24"/>
  <c r="G80" i="24"/>
  <c r="G77" i="24"/>
  <c r="G1013" i="24"/>
  <c r="G909" i="24"/>
  <c r="G858" i="24"/>
  <c r="G847" i="24"/>
  <c r="G791" i="24"/>
  <c r="G768" i="24"/>
  <c r="G751" i="24"/>
  <c r="G729" i="24"/>
  <c r="G722" i="24"/>
  <c r="G616" i="24"/>
  <c r="G622" i="24"/>
  <c r="G598" i="24"/>
  <c r="G339" i="24"/>
  <c r="G299" i="24"/>
  <c r="G288" i="24"/>
  <c r="G260" i="24"/>
  <c r="G189" i="24"/>
  <c r="G175" i="24"/>
  <c r="G163" i="24"/>
  <c r="G114" i="24"/>
  <c r="G102" i="24"/>
  <c r="G520" i="24"/>
  <c r="G542" i="24"/>
  <c r="G423" i="24"/>
  <c r="G388" i="24"/>
  <c r="G372" i="24"/>
  <c r="G897" i="24"/>
  <c r="G758" i="24"/>
  <c r="G604" i="24"/>
  <c r="G202" i="24"/>
  <c r="G169" i="24"/>
  <c r="G128" i="24"/>
  <c r="G99" i="24"/>
  <c r="G417" i="24"/>
  <c r="G893" i="24"/>
  <c r="G737" i="24"/>
  <c r="G631" i="24"/>
  <c r="G601" i="24"/>
  <c r="G158" i="24"/>
  <c r="G105" i="24"/>
  <c r="G51" i="24"/>
  <c r="G1023" i="24"/>
  <c r="G1005" i="24"/>
  <c r="G988" i="24"/>
  <c r="G902" i="24"/>
  <c r="G887" i="24"/>
  <c r="G871" i="24"/>
  <c r="G839" i="24"/>
  <c r="G802" i="24"/>
  <c r="G748" i="24"/>
  <c r="G592" i="24"/>
  <c r="G719" i="24"/>
  <c r="G697" i="24"/>
  <c r="G683" i="24"/>
  <c r="G637" i="24"/>
  <c r="G607" i="24"/>
  <c r="G359" i="24"/>
  <c r="G310" i="24"/>
  <c r="G305" i="24"/>
  <c r="G255" i="24"/>
  <c r="G214" i="24"/>
  <c r="G205" i="24"/>
  <c r="G186" i="24"/>
  <c r="G172" i="24"/>
  <c r="G145" i="24"/>
  <c r="G131" i="24"/>
  <c r="G111" i="24"/>
  <c r="G86" i="24"/>
  <c r="G27" i="24"/>
  <c r="G551" i="24"/>
  <c r="G539" i="24"/>
  <c r="G420" i="24"/>
  <c r="G397" i="24"/>
  <c r="F530" i="25"/>
  <c r="G203" i="30"/>
  <c r="G202" i="30" s="1"/>
  <c r="G198" i="30" s="1"/>
  <c r="G197" i="30" s="1"/>
  <c r="G196" i="30" s="1"/>
  <c r="G195" i="30" s="1"/>
  <c r="G37" i="30"/>
  <c r="G31" i="30" s="1"/>
  <c r="G641" i="30"/>
  <c r="G640" i="30" s="1"/>
  <c r="G231" i="30"/>
  <c r="G693" i="30"/>
  <c r="G692" i="30" s="1"/>
  <c r="G691" i="30" s="1"/>
  <c r="G684" i="30" s="1"/>
  <c r="F145" i="30"/>
  <c r="F578" i="30"/>
  <c r="F574" i="30" s="1"/>
  <c r="F573" i="30" s="1"/>
  <c r="F572" i="30" s="1"/>
  <c r="G255" i="30"/>
  <c r="G254" i="30" s="1"/>
  <c r="G253" i="30" s="1"/>
  <c r="F583" i="30"/>
  <c r="G665" i="30"/>
  <c r="G664" i="30" s="1"/>
  <c r="G659" i="30" s="1"/>
  <c r="G652" i="30" s="1"/>
  <c r="F287" i="30"/>
  <c r="G94" i="30"/>
  <c r="F698" i="30"/>
  <c r="F693" i="30" s="1"/>
  <c r="F692" i="30" s="1"/>
  <c r="F691" i="30" s="1"/>
  <c r="F684" i="30" s="1"/>
  <c r="G707" i="30"/>
  <c r="G706" i="30" s="1"/>
  <c r="G705" i="30" s="1"/>
  <c r="G704" i="30" s="1"/>
  <c r="G703" i="30" s="1"/>
  <c r="G437" i="30"/>
  <c r="G433" i="30" s="1"/>
  <c r="G432" i="30" s="1"/>
  <c r="G431" i="30" s="1"/>
  <c r="F306" i="25"/>
  <c r="F305" i="25" s="1"/>
  <c r="F304" i="25" s="1"/>
  <c r="F303" i="25" s="1"/>
  <c r="F386" i="25"/>
  <c r="F385" i="25" s="1"/>
  <c r="F384" i="25" s="1"/>
  <c r="F383" i="25" s="1"/>
  <c r="F617" i="25"/>
  <c r="F616" i="25" s="1"/>
  <c r="F615" i="25" s="1"/>
  <c r="F609" i="25" s="1"/>
  <c r="F608" i="25" s="1"/>
  <c r="F868" i="25"/>
  <c r="F867" i="25" s="1"/>
  <c r="F866" i="25" s="1"/>
  <c r="F860" i="25" s="1"/>
  <c r="F837" i="25"/>
  <c r="F836" i="25" s="1"/>
  <c r="F113" i="25"/>
  <c r="F112" i="25" s="1"/>
  <c r="F111" i="25" s="1"/>
  <c r="F105" i="25" s="1"/>
  <c r="F687" i="25"/>
  <c r="F686" i="25" s="1"/>
  <c r="F685" i="25" s="1"/>
  <c r="F154" i="25"/>
  <c r="F153" i="25" s="1"/>
  <c r="F152" i="25" s="1"/>
  <c r="F831" i="25"/>
  <c r="F512" i="25"/>
  <c r="F511" i="25" s="1"/>
  <c r="F510" i="25" s="1"/>
  <c r="F504" i="25" s="1"/>
  <c r="F503" i="25" s="1"/>
  <c r="F502" i="25" s="1"/>
  <c r="F915" i="25"/>
  <c r="F914" i="25" s="1"/>
  <c r="F913" i="25" s="1"/>
  <c r="F252" i="25"/>
  <c r="F251" i="25" s="1"/>
  <c r="F250" i="25" s="1"/>
  <c r="F1005" i="25"/>
  <c r="F1004" i="25" s="1"/>
  <c r="F1003" i="25" s="1"/>
  <c r="F368" i="25"/>
  <c r="F367" i="25" s="1"/>
  <c r="F366" i="25" s="1"/>
  <c r="F931" i="25"/>
  <c r="F930" i="25" s="1"/>
  <c r="F929" i="25" s="1"/>
  <c r="F906" i="25"/>
  <c r="F905" i="25" s="1"/>
  <c r="F900" i="25" s="1"/>
  <c r="F894" i="25"/>
  <c r="F893" i="25" s="1"/>
  <c r="F892" i="25" s="1"/>
  <c r="F886" i="25" s="1"/>
  <c r="F881" i="25"/>
  <c r="F880" i="25" s="1"/>
  <c r="F554" i="25"/>
  <c r="F375" i="25"/>
  <c r="F374" i="25" s="1"/>
  <c r="F373" i="25" s="1"/>
  <c r="F123" i="25"/>
  <c r="F71" i="25"/>
  <c r="F476" i="30"/>
  <c r="F475" i="30" s="1"/>
  <c r="F474" i="30" s="1"/>
  <c r="F328" i="30"/>
  <c r="G476" i="30"/>
  <c r="G475" i="30" s="1"/>
  <c r="G474" i="30" s="1"/>
  <c r="F37" i="30"/>
  <c r="F31" i="30" s="1"/>
  <c r="F413" i="30"/>
  <c r="F348" i="30"/>
  <c r="F347" i="30" s="1"/>
  <c r="F346" i="30" s="1"/>
  <c r="F345" i="30" s="1"/>
  <c r="F707" i="30"/>
  <c r="F706" i="30" s="1"/>
  <c r="F705" i="30" s="1"/>
  <c r="F704" i="30" s="1"/>
  <c r="F703" i="30" s="1"/>
  <c r="F635" i="30"/>
  <c r="F631" i="30" s="1"/>
  <c r="F630" i="30" s="1"/>
  <c r="F629" i="30" s="1"/>
  <c r="F321" i="30"/>
  <c r="F295" i="30"/>
  <c r="F294" i="30" s="1"/>
  <c r="F54" i="30"/>
  <c r="F50" i="30" s="1"/>
  <c r="F49" i="30" s="1"/>
  <c r="F42" i="30" s="1"/>
  <c r="G81" i="30"/>
  <c r="G77" i="30" s="1"/>
  <c r="G76" i="30" s="1"/>
  <c r="G438" i="29"/>
  <c r="H498" i="29"/>
  <c r="H494" i="29" s="1"/>
  <c r="H493" i="29" s="1"/>
  <c r="H492" i="29" s="1"/>
  <c r="H491" i="29" s="1"/>
  <c r="H506" i="29"/>
  <c r="H505" i="29" s="1"/>
  <c r="H504" i="29" s="1"/>
  <c r="G498" i="29"/>
  <c r="H806" i="29"/>
  <c r="H805" i="29" s="1"/>
  <c r="H804" i="29" s="1"/>
  <c r="H803" i="29" s="1"/>
  <c r="H775" i="29"/>
  <c r="H774" i="29" s="1"/>
  <c r="H602" i="29"/>
  <c r="H169" i="29"/>
  <c r="H168" i="29" s="1"/>
  <c r="G566" i="29"/>
  <c r="H566" i="29"/>
  <c r="H565" i="29" s="1"/>
  <c r="H564" i="29" s="1"/>
  <c r="H563" i="29" s="1"/>
  <c r="G835" i="29"/>
  <c r="H447" i="29"/>
  <c r="H446" i="29" s="1"/>
  <c r="H445" i="29" s="1"/>
  <c r="H444" i="29" s="1"/>
  <c r="H124" i="29"/>
  <c r="G854" i="29"/>
  <c r="G782" i="29"/>
  <c r="G629" i="29"/>
  <c r="H854" i="29"/>
  <c r="H850" i="29" s="1"/>
  <c r="H849" i="29" s="1"/>
  <c r="H848" i="29" s="1"/>
  <c r="H847" i="29" s="1"/>
  <c r="H846" i="29" s="1"/>
  <c r="H835" i="29"/>
  <c r="H829" i="29" s="1"/>
  <c r="H821" i="29" s="1"/>
  <c r="H820" i="29" s="1"/>
  <c r="H787" i="29"/>
  <c r="H182" i="29"/>
  <c r="H223" i="29"/>
  <c r="H219" i="29" s="1"/>
  <c r="H218" i="29" s="1"/>
  <c r="H217" i="29" s="1"/>
  <c r="H216" i="29" s="1"/>
  <c r="H215" i="29" s="1"/>
  <c r="H261" i="29"/>
  <c r="H257" i="29" s="1"/>
  <c r="H256" i="29" s="1"/>
  <c r="H255" i="29" s="1"/>
  <c r="H254" i="29" s="1"/>
  <c r="H253" i="29" s="1"/>
  <c r="H549" i="29"/>
  <c r="H545" i="29" s="1"/>
  <c r="H544" i="29" s="1"/>
  <c r="H543" i="29" s="1"/>
  <c r="H542" i="29" s="1"/>
  <c r="H347" i="29"/>
  <c r="G787" i="29"/>
  <c r="G741" i="29"/>
  <c r="G705" i="29"/>
  <c r="H794" i="29"/>
  <c r="H793" i="29" s="1"/>
  <c r="H792" i="29" s="1"/>
  <c r="H782" i="29"/>
  <c r="H666" i="29"/>
  <c r="H665" i="29" s="1"/>
  <c r="H383" i="29"/>
  <c r="H382" i="29" s="1"/>
  <c r="H381" i="29" s="1"/>
  <c r="H373" i="29" s="1"/>
  <c r="H36" i="29"/>
  <c r="H32" i="29" s="1"/>
  <c r="H31" i="29" s="1"/>
  <c r="H30" i="29" s="1"/>
  <c r="H362" i="29"/>
  <c r="H361" i="29" s="1"/>
  <c r="H360" i="29" s="1"/>
  <c r="G291" i="24"/>
  <c r="G70" i="24"/>
  <c r="G661" i="24"/>
  <c r="G409" i="24"/>
  <c r="G960" i="24"/>
  <c r="G786" i="24"/>
  <c r="G583" i="24"/>
  <c r="G826" i="24"/>
  <c r="G362" i="24"/>
  <c r="F875" i="25"/>
  <c r="F874" i="25" s="1"/>
  <c r="F549" i="25"/>
  <c r="F548" i="25" s="1"/>
  <c r="F547" i="25" s="1"/>
  <c r="F546" i="25" s="1"/>
  <c r="F1045" i="25"/>
  <c r="G550" i="30"/>
  <c r="G549" i="30" s="1"/>
  <c r="C40" i="14"/>
  <c r="C39" i="14" s="1"/>
  <c r="C38" i="14" s="1"/>
  <c r="C21" i="22"/>
  <c r="G970" i="24"/>
  <c r="G880" i="24"/>
  <c r="G208" i="24"/>
  <c r="H701" i="29"/>
  <c r="H700" i="29" s="1"/>
  <c r="H699" i="29" s="1"/>
  <c r="H642" i="29"/>
  <c r="H641" i="29" s="1"/>
  <c r="H640" i="29" s="1"/>
  <c r="F924" i="25"/>
  <c r="F923" i="25" s="1"/>
  <c r="F922" i="25" s="1"/>
  <c r="C23" i="14"/>
  <c r="C22" i="14" s="1"/>
  <c r="G935" i="24"/>
  <c r="F855" i="25"/>
  <c r="F854" i="25" s="1"/>
  <c r="F853" i="25" s="1"/>
  <c r="F847" i="25" s="1"/>
  <c r="F797" i="25"/>
  <c r="F796" i="25" s="1"/>
  <c r="F795" i="25" s="1"/>
  <c r="F789" i="25" s="1"/>
  <c r="F788" i="25" s="1"/>
  <c r="F768" i="25" s="1"/>
  <c r="F573" i="25"/>
  <c r="F572" i="25" s="1"/>
  <c r="F571" i="25" s="1"/>
  <c r="F382" i="25"/>
  <c r="G930" i="24"/>
  <c r="F591" i="25"/>
  <c r="F590" i="25" s="1"/>
  <c r="F589" i="25" s="1"/>
  <c r="F588" i="25" s="1"/>
  <c r="F473" i="25"/>
  <c r="G382" i="24"/>
  <c r="G681" i="29"/>
  <c r="F607" i="30"/>
  <c r="F555" i="30"/>
  <c r="F554" i="30" s="1"/>
  <c r="F487" i="30"/>
  <c r="F486" i="30" s="1"/>
  <c r="F485" i="30" s="1"/>
  <c r="F226" i="30"/>
  <c r="F222" i="30" s="1"/>
  <c r="G607" i="30"/>
  <c r="F356" i="31"/>
  <c r="F415" i="25"/>
  <c r="F414" i="25" s="1"/>
  <c r="F413" i="25" s="1"/>
  <c r="F407" i="25" s="1"/>
  <c r="F406" i="25" s="1"/>
  <c r="F405" i="25" s="1"/>
  <c r="F205" i="25"/>
  <c r="F204" i="25" s="1"/>
  <c r="F203" i="25" s="1"/>
  <c r="F197" i="25" s="1"/>
  <c r="F196" i="25" s="1"/>
  <c r="H741" i="29"/>
  <c r="H740" i="29" s="1"/>
  <c r="H739" i="29" s="1"/>
  <c r="H730" i="29"/>
  <c r="H729" i="29" s="1"/>
  <c r="H728" i="29" s="1"/>
  <c r="H595" i="29"/>
  <c r="H396" i="29"/>
  <c r="H395" i="29" s="1"/>
  <c r="H394" i="29" s="1"/>
  <c r="F562" i="30"/>
  <c r="F203" i="30"/>
  <c r="F202" i="30" s="1"/>
  <c r="F198" i="30" s="1"/>
  <c r="F197" i="30" s="1"/>
  <c r="F196" i="30" s="1"/>
  <c r="F195" i="30" s="1"/>
  <c r="G567" i="30"/>
  <c r="G555" i="30"/>
  <c r="G554" i="30" s="1"/>
  <c r="G487" i="30"/>
  <c r="G486" i="30" s="1"/>
  <c r="G485" i="30" s="1"/>
  <c r="G356" i="31"/>
  <c r="H532" i="29"/>
  <c r="H531" i="29" s="1"/>
  <c r="F421" i="25"/>
  <c r="C53" i="22"/>
  <c r="F183" i="25"/>
  <c r="F182" i="25" s="1"/>
  <c r="F181" i="25" s="1"/>
  <c r="F180" i="25" s="1"/>
  <c r="F179" i="25" s="1"/>
  <c r="F660" i="25"/>
  <c r="F659" i="25" s="1"/>
  <c r="F658" i="25" s="1"/>
  <c r="G333" i="29"/>
  <c r="H619" i="29"/>
  <c r="H618" i="29" s="1"/>
  <c r="H617" i="29" s="1"/>
  <c r="H616" i="29" s="1"/>
  <c r="H203" i="29"/>
  <c r="H202" i="29" s="1"/>
  <c r="H201" i="29" s="1"/>
  <c r="H200" i="29" s="1"/>
  <c r="H199" i="29" s="1"/>
  <c r="G635" i="30"/>
  <c r="G631" i="30" s="1"/>
  <c r="G630" i="30" s="1"/>
  <c r="G629" i="30" s="1"/>
  <c r="H51" i="29"/>
  <c r="F166" i="30"/>
  <c r="G287" i="30"/>
  <c r="G145" i="30"/>
  <c r="F188" i="31"/>
  <c r="F187" i="31" s="1"/>
  <c r="F809" i="25"/>
  <c r="G449" i="30"/>
  <c r="G445" i="30" s="1"/>
  <c r="G444" i="30" s="1"/>
  <c r="G443" i="30" s="1"/>
  <c r="G226" i="30"/>
  <c r="G222" i="30" s="1"/>
  <c r="G221" i="30" s="1"/>
  <c r="G220" i="30" s="1"/>
  <c r="G261" i="29"/>
  <c r="G758" i="31"/>
  <c r="G757" i="31" s="1"/>
  <c r="G756" i="31" s="1"/>
  <c r="G750" i="31" s="1"/>
  <c r="G166" i="30"/>
  <c r="F487" i="31"/>
  <c r="F125" i="31"/>
  <c r="H58" i="29"/>
  <c r="F81" i="30"/>
  <c r="F77" i="30" s="1"/>
  <c r="F76" i="30" s="1"/>
  <c r="F71" i="30"/>
  <c r="F67" i="30" s="1"/>
  <c r="F66" i="30" s="1"/>
  <c r="G71" i="30"/>
  <c r="G67" i="30" s="1"/>
  <c r="G66" i="30" s="1"/>
  <c r="G54" i="30"/>
  <c r="G50" i="30" s="1"/>
  <c r="G49" i="30" s="1"/>
  <c r="G42" i="30" s="1"/>
  <c r="G180" i="30"/>
  <c r="G179" i="30" s="1"/>
  <c r="G413" i="30"/>
  <c r="G804" i="31"/>
  <c r="G803" i="31" s="1"/>
  <c r="G802" i="31" s="1"/>
  <c r="F351" i="31"/>
  <c r="F350" i="31" s="1"/>
  <c r="F349" i="31" s="1"/>
  <c r="F331" i="31" s="1"/>
  <c r="F149" i="31"/>
  <c r="G868" i="31"/>
  <c r="G867" i="31" s="1"/>
  <c r="G866" i="31" s="1"/>
  <c r="F584" i="31"/>
  <c r="F583" i="31" s="1"/>
  <c r="F542" i="31" s="1"/>
  <c r="F804" i="31"/>
  <c r="F803" i="31" s="1"/>
  <c r="F802" i="31" s="1"/>
  <c r="F787" i="31" s="1"/>
  <c r="G795" i="31"/>
  <c r="G794" i="31" s="1"/>
  <c r="G793" i="31" s="1"/>
  <c r="F238" i="31"/>
  <c r="F237" i="31" s="1"/>
  <c r="F236" i="31" s="1"/>
  <c r="D37" i="32"/>
  <c r="D36" i="32" s="1"/>
  <c r="D35" i="32" s="1"/>
  <c r="D34" i="32" s="1"/>
  <c r="D33" i="32" s="1"/>
  <c r="F386" i="21"/>
  <c r="G501" i="30"/>
  <c r="F374" i="30"/>
  <c r="G403" i="30"/>
  <c r="G402" i="30" s="1"/>
  <c r="G374" i="30"/>
  <c r="F593" i="30"/>
  <c r="F592" i="30" s="1"/>
  <c r="F591" i="30" s="1"/>
  <c r="F101" i="30"/>
  <c r="F665" i="30"/>
  <c r="F664" i="30" s="1"/>
  <c r="F659" i="30" s="1"/>
  <c r="F652" i="30" s="1"/>
  <c r="F567" i="30"/>
  <c r="F455" i="30"/>
  <c r="F454" i="30" s="1"/>
  <c r="F231" i="30"/>
  <c r="G348" i="30"/>
  <c r="G347" i="30" s="1"/>
  <c r="G346" i="30" s="1"/>
  <c r="G345" i="30" s="1"/>
  <c r="F159" i="30"/>
  <c r="G101" i="30"/>
  <c r="G335" i="30"/>
  <c r="G240" i="30"/>
  <c r="G328" i="30"/>
  <c r="F522" i="30"/>
  <c r="F521" i="30" s="1"/>
  <c r="F520" i="30" s="1"/>
  <c r="F213" i="30"/>
  <c r="F212" i="30" s="1"/>
  <c r="F211" i="30" s="1"/>
  <c r="G522" i="30"/>
  <c r="G521" i="30" s="1"/>
  <c r="G520" i="30" s="1"/>
  <c r="G314" i="30"/>
  <c r="G266" i="30"/>
  <c r="G159" i="30"/>
  <c r="F544" i="30"/>
  <c r="F468" i="30"/>
  <c r="F464" i="30" s="1"/>
  <c r="F463" i="30" s="1"/>
  <c r="F462" i="30" s="1"/>
  <c r="F449" i="30"/>
  <c r="F445" i="30" s="1"/>
  <c r="F444" i="30" s="1"/>
  <c r="F443" i="30" s="1"/>
  <c r="F437" i="30"/>
  <c r="F433" i="30" s="1"/>
  <c r="F432" i="30" s="1"/>
  <c r="F431" i="30" s="1"/>
  <c r="G578" i="30"/>
  <c r="G574" i="30" s="1"/>
  <c r="G573" i="30" s="1"/>
  <c r="G572" i="30" s="1"/>
  <c r="G455" i="30"/>
  <c r="G454" i="30" s="1"/>
  <c r="G321" i="30"/>
  <c r="F641" i="30"/>
  <c r="F640" i="30" s="1"/>
  <c r="F360" i="21"/>
  <c r="F807" i="21"/>
  <c r="F802" i="21" s="1"/>
  <c r="F801" i="21" s="1"/>
  <c r="F800" i="21" s="1"/>
  <c r="F521" i="21"/>
  <c r="F517" i="21" s="1"/>
  <c r="F516" i="21" s="1"/>
  <c r="F515" i="21" s="1"/>
  <c r="F615" i="21"/>
  <c r="F614" i="21" s="1"/>
  <c r="F613" i="21" s="1"/>
  <c r="F80" i="21"/>
  <c r="F76" i="21" s="1"/>
  <c r="F75" i="21" s="1"/>
  <c r="F257" i="21"/>
  <c r="F262" i="21"/>
  <c r="F772" i="21"/>
  <c r="F765" i="21" s="1"/>
  <c r="F764" i="21" s="1"/>
  <c r="F684" i="21"/>
  <c r="F683" i="21" s="1"/>
  <c r="F682" i="21" s="1"/>
  <c r="F34" i="21"/>
  <c r="F28" i="21" s="1"/>
  <c r="F735" i="21"/>
  <c r="F734" i="21" s="1"/>
  <c r="F452" i="21"/>
  <c r="F451" i="21" s="1"/>
  <c r="F450" i="21" s="1"/>
  <c r="F473" i="21"/>
  <c r="F208" i="21"/>
  <c r="F207" i="21" s="1"/>
  <c r="F203" i="21" s="1"/>
  <c r="F202" i="21" s="1"/>
  <c r="F201" i="21" s="1"/>
  <c r="F200" i="21" s="1"/>
  <c r="F102" i="21"/>
  <c r="F168" i="21"/>
  <c r="F222" i="21"/>
  <c r="F221" i="21" s="1"/>
  <c r="F220" i="21" s="1"/>
  <c r="F676" i="21"/>
  <c r="F663" i="21" s="1"/>
  <c r="F48" i="21"/>
  <c r="F156" i="21"/>
  <c r="F235" i="21"/>
  <c r="F231" i="21" s="1"/>
  <c r="F330" i="21"/>
  <c r="F329" i="21" s="1"/>
  <c r="F316" i="21"/>
  <c r="F701" i="21"/>
  <c r="F640" i="21"/>
  <c r="F633" i="21"/>
  <c r="F632" i="21" s="1"/>
  <c r="F572" i="21"/>
  <c r="F571" i="21" s="1"/>
  <c r="F570" i="21" s="1"/>
  <c r="F508" i="21"/>
  <c r="F507" i="21" s="1"/>
  <c r="F490" i="21"/>
  <c r="F486" i="21" s="1"/>
  <c r="F485" i="21" s="1"/>
  <c r="F484" i="21" s="1"/>
  <c r="F367" i="21"/>
  <c r="F284" i="21"/>
  <c r="F283" i="21" s="1"/>
  <c r="F282" i="21" s="1"/>
  <c r="F729" i="21"/>
  <c r="F725" i="21" s="1"/>
  <c r="F724" i="21" s="1"/>
  <c r="F723" i="21" s="1"/>
  <c r="F658" i="21"/>
  <c r="F654" i="21" s="1"/>
  <c r="F653" i="21" s="1"/>
  <c r="F652" i="21" s="1"/>
  <c r="F502" i="21"/>
  <c r="F498" i="21" s="1"/>
  <c r="F497" i="21" s="1"/>
  <c r="F496" i="21" s="1"/>
  <c r="F397" i="21"/>
  <c r="F396" i="21" s="1"/>
  <c r="F353" i="21"/>
  <c r="F816" i="21"/>
  <c r="F815" i="21" s="1"/>
  <c r="F814" i="21" s="1"/>
  <c r="F813" i="21" s="1"/>
  <c r="F812" i="21" s="1"/>
  <c r="C49" i="22"/>
  <c r="C73" i="22" s="1"/>
  <c r="F70" i="21"/>
  <c r="F66" i="21" s="1"/>
  <c r="F65" i="21" s="1"/>
  <c r="F53" i="21"/>
  <c r="F163" i="21"/>
  <c r="F127" i="21"/>
  <c r="F538" i="21"/>
  <c r="F537" i="21" s="1"/>
  <c r="F536" i="21" s="1"/>
  <c r="F528" i="21"/>
  <c r="F527" i="21" s="1"/>
  <c r="F526" i="21" s="1"/>
  <c r="F645" i="21"/>
  <c r="F598" i="21"/>
  <c r="F597" i="21" s="1"/>
  <c r="F793" i="21"/>
  <c r="F792" i="21" s="1"/>
  <c r="F134" i="21"/>
  <c r="F240" i="21"/>
  <c r="F556" i="21"/>
  <c r="F555" i="21" s="1"/>
  <c r="F554" i="21" s="1"/>
  <c r="F295" i="21"/>
  <c r="F405" i="21"/>
  <c r="F463" i="21"/>
  <c r="F419" i="21"/>
  <c r="F457" i="25"/>
  <c r="G58" i="24"/>
  <c r="F359" i="25"/>
  <c r="F358" i="25" s="1"/>
  <c r="F357" i="25" s="1"/>
  <c r="F356" i="25" s="1"/>
  <c r="F352" i="25"/>
  <c r="F351" i="25" s="1"/>
  <c r="F350" i="25" s="1"/>
  <c r="F349" i="25" s="1"/>
  <c r="F30" i="25"/>
  <c r="F1019" i="25"/>
  <c r="F1018" i="25" s="1"/>
  <c r="F1017" i="25" s="1"/>
  <c r="G431" i="24"/>
  <c r="F501" i="30"/>
  <c r="F990" i="25"/>
  <c r="F989" i="25" s="1"/>
  <c r="F988" i="25" s="1"/>
  <c r="F269" i="25"/>
  <c r="F147" i="25"/>
  <c r="F146" i="25" s="1"/>
  <c r="F145" i="25" s="1"/>
  <c r="F82" i="25"/>
  <c r="H292" i="29"/>
  <c r="F266" i="30"/>
  <c r="G593" i="30"/>
  <c r="G592" i="30" s="1"/>
  <c r="G591" i="30" s="1"/>
  <c r="G584" i="31"/>
  <c r="G583" i="31" s="1"/>
  <c r="G542" i="31" s="1"/>
  <c r="G288" i="31"/>
  <c r="G255" i="31"/>
  <c r="G798" i="29"/>
  <c r="F314" i="30"/>
  <c r="H338" i="29"/>
  <c r="H152" i="29"/>
  <c r="G544" i="30"/>
  <c r="G447" i="31"/>
  <c r="G320" i="29"/>
  <c r="F403" i="30"/>
  <c r="F402" i="30" s="1"/>
  <c r="G295" i="30"/>
  <c r="G294" i="30" s="1"/>
  <c r="G213" i="30"/>
  <c r="G212" i="30" s="1"/>
  <c r="G211" i="30" s="1"/>
  <c r="G381" i="31"/>
  <c r="G380" i="31" s="1"/>
  <c r="G379" i="31" s="1"/>
  <c r="H80" i="29"/>
  <c r="H410" i="29"/>
  <c r="H143" i="29"/>
  <c r="H142" i="29" s="1"/>
  <c r="H138" i="29" s="1"/>
  <c r="H137" i="29" s="1"/>
  <c r="H136" i="29" s="1"/>
  <c r="H135" i="29" s="1"/>
  <c r="H456" i="29"/>
  <c r="H455" i="29" s="1"/>
  <c r="G526" i="31"/>
  <c r="G486" i="31" s="1"/>
  <c r="F81" i="31"/>
  <c r="F35" i="31"/>
  <c r="H609" i="29"/>
  <c r="G468" i="30"/>
  <c r="G464" i="30" s="1"/>
  <c r="G463" i="30" s="1"/>
  <c r="G462" i="30" s="1"/>
  <c r="G129" i="30"/>
  <c r="F395" i="31"/>
  <c r="G335" i="31"/>
  <c r="G334" i="31" s="1"/>
  <c r="G333" i="31" s="1"/>
  <c r="G332" i="31" s="1"/>
  <c r="G331" i="31" s="1"/>
  <c r="F129" i="30"/>
  <c r="G597" i="31"/>
  <c r="G125" i="31"/>
  <c r="H108" i="29"/>
  <c r="G35" i="31"/>
  <c r="F431" i="31"/>
  <c r="F288" i="31"/>
  <c r="G149" i="31"/>
  <c r="G238" i="31"/>
  <c r="G237" i="31" s="1"/>
  <c r="G236" i="31" s="1"/>
  <c r="G81" i="31"/>
  <c r="F737" i="31"/>
  <c r="F504" i="31"/>
  <c r="F255" i="31"/>
  <c r="G853" i="31"/>
  <c r="G852" i="31" s="1"/>
  <c r="G851" i="31" s="1"/>
  <c r="F526" i="31"/>
  <c r="F24" i="31"/>
  <c r="F335" i="30"/>
  <c r="H73" i="29"/>
  <c r="F94" i="30"/>
  <c r="G24" i="31"/>
  <c r="F447" i="31"/>
  <c r="F727" i="31"/>
  <c r="F726" i="31" s="1"/>
  <c r="F721" i="31" s="1"/>
  <c r="F699" i="31"/>
  <c r="F698" i="31" s="1"/>
  <c r="F697" i="31" s="1"/>
  <c r="F691" i="31" s="1"/>
  <c r="F690" i="31" s="1"/>
  <c r="F670" i="31" s="1"/>
  <c r="F597" i="31"/>
  <c r="F758" i="31"/>
  <c r="F757" i="31" s="1"/>
  <c r="F756" i="31" s="1"/>
  <c r="F750" i="31" s="1"/>
  <c r="H515" i="29"/>
  <c r="H514" i="29" s="1"/>
  <c r="C23" i="32"/>
  <c r="C22" i="32" s="1"/>
  <c r="F240" i="30"/>
  <c r="G704" i="31"/>
  <c r="D28" i="32"/>
  <c r="D22" i="32" s="1"/>
  <c r="G404" i="24" l="1"/>
  <c r="G33" i="24"/>
  <c r="G613" i="24"/>
  <c r="G612" i="24" s="1"/>
  <c r="G414" i="24"/>
  <c r="G780" i="24"/>
  <c r="G640" i="24"/>
  <c r="G580" i="24"/>
  <c r="G579" i="24" s="1"/>
  <c r="G526" i="24"/>
  <c r="G947" i="24"/>
  <c r="G230" i="24"/>
  <c r="G229" i="24" s="1"/>
  <c r="G149" i="24"/>
  <c r="G148" i="24" s="1"/>
  <c r="G634" i="24"/>
  <c r="G92" i="24"/>
  <c r="G316" i="24"/>
  <c r="G241" i="24"/>
  <c r="G237" i="24" s="1"/>
  <c r="G833" i="24"/>
  <c r="G401" i="24"/>
  <c r="G688" i="24"/>
  <c r="G687" i="24" s="1"/>
  <c r="G713" i="24"/>
  <c r="G563" i="24"/>
  <c r="G708" i="24"/>
  <c r="G811" i="24"/>
  <c r="G810" i="24" s="1"/>
  <c r="G221" i="24"/>
  <c r="G1016" i="24"/>
  <c r="G805" i="24"/>
  <c r="G997" i="24"/>
  <c r="G121" i="24"/>
  <c r="G957" i="24"/>
  <c r="G658" i="24"/>
  <c r="G573" i="24"/>
  <c r="G994" i="24"/>
  <c r="G536" i="24"/>
  <c r="G570" i="24"/>
  <c r="G426" i="24"/>
  <c r="G273" i="24"/>
  <c r="G272" i="24" s="1"/>
  <c r="G38" i="24"/>
  <c r="G942" i="24"/>
  <c r="G850" i="24"/>
  <c r="G65" i="24"/>
  <c r="G45" i="24"/>
  <c r="G44" i="24" s="1"/>
  <c r="G266" i="24"/>
  <c r="G648" i="24"/>
  <c r="G379" i="24"/>
  <c r="G338" i="29"/>
  <c r="G532" i="29"/>
  <c r="G531" i="29" s="1"/>
  <c r="F239" i="30"/>
  <c r="F238" i="30" s="1"/>
  <c r="G186" i="31"/>
  <c r="F124" i="31"/>
  <c r="F553" i="30"/>
  <c r="G73" i="29"/>
  <c r="G383" i="29"/>
  <c r="G382" i="29" s="1"/>
  <c r="G556" i="29"/>
  <c r="G555" i="29" s="1"/>
  <c r="G387" i="24"/>
  <c r="G108" i="29"/>
  <c r="H409" i="29"/>
  <c r="H408" i="29" s="1"/>
  <c r="H698" i="29"/>
  <c r="H697" i="29" s="1"/>
  <c r="F186" i="31"/>
  <c r="G394" i="31"/>
  <c r="G787" i="31"/>
  <c r="F287" i="31"/>
  <c r="F23" i="31"/>
  <c r="G51" i="29"/>
  <c r="G595" i="29"/>
  <c r="G712" i="29"/>
  <c r="G711" i="29" s="1"/>
  <c r="H653" i="29"/>
  <c r="H652" i="29" s="1"/>
  <c r="H50" i="29"/>
  <c r="H49" i="29" s="1"/>
  <c r="H48" i="29" s="1"/>
  <c r="H773" i="29"/>
  <c r="H763" i="29" s="1"/>
  <c r="H762" i="29" s="1"/>
  <c r="H727" i="29" s="1"/>
  <c r="H726" i="29" s="1"/>
  <c r="G296" i="29"/>
  <c r="G242" i="29"/>
  <c r="G404" i="29"/>
  <c r="G731" i="29"/>
  <c r="G472" i="29"/>
  <c r="G43" i="29"/>
  <c r="G274" i="29"/>
  <c r="G757" i="29"/>
  <c r="H346" i="29"/>
  <c r="H345" i="29" s="1"/>
  <c r="G722" i="29"/>
  <c r="G842" i="29"/>
  <c r="G377" i="29"/>
  <c r="G702" i="29"/>
  <c r="G701" i="29" s="1"/>
  <c r="G825" i="29"/>
  <c r="G816" i="29"/>
  <c r="G317" i="29"/>
  <c r="G220" i="29"/>
  <c r="G191" i="29"/>
  <c r="G309" i="29"/>
  <c r="G495" i="29"/>
  <c r="G515" i="29"/>
  <c r="H594" i="29"/>
  <c r="H593" i="29" s="1"/>
  <c r="G666" i="29"/>
  <c r="H151" i="29"/>
  <c r="H150" i="29" s="1"/>
  <c r="G775" i="29"/>
  <c r="G764" i="29"/>
  <c r="G602" i="29"/>
  <c r="G143" i="29"/>
  <c r="G361" i="29"/>
  <c r="G506" i="29"/>
  <c r="G434" i="29"/>
  <c r="G249" i="29"/>
  <c r="G185" i="29"/>
  <c r="G302" i="29"/>
  <c r="G687" i="29"/>
  <c r="G750" i="29"/>
  <c r="G26" i="29"/>
  <c r="G258" i="29"/>
  <c r="G694" i="29"/>
  <c r="H393" i="29"/>
  <c r="H372" i="29" s="1"/>
  <c r="G152" i="29"/>
  <c r="G410" i="29"/>
  <c r="G466" i="29"/>
  <c r="G580" i="29"/>
  <c r="G33" i="29"/>
  <c r="G211" i="29"/>
  <c r="G546" i="29"/>
  <c r="G460" i="29"/>
  <c r="G832" i="29"/>
  <c r="G84" i="29"/>
  <c r="G678" i="29"/>
  <c r="G677" i="29" s="1"/>
  <c r="H454" i="29"/>
  <c r="H443" i="29" s="1"/>
  <c r="G446" i="29"/>
  <c r="G203" i="29"/>
  <c r="G58" i="29"/>
  <c r="G619" i="29"/>
  <c r="G806" i="29"/>
  <c r="G169" i="29"/>
  <c r="G571" i="29"/>
  <c r="G457" i="29"/>
  <c r="G478" i="29"/>
  <c r="G36" i="29"/>
  <c r="G636" i="29"/>
  <c r="G795" i="29"/>
  <c r="G236" i="29"/>
  <c r="G280" i="29"/>
  <c r="G657" i="29"/>
  <c r="G485" i="29"/>
  <c r="G354" i="29"/>
  <c r="G527" i="29"/>
  <c r="G268" i="29"/>
  <c r="G851" i="29"/>
  <c r="G131" i="29"/>
  <c r="G195" i="29"/>
  <c r="G397" i="29"/>
  <c r="G128" i="29"/>
  <c r="G357" i="29"/>
  <c r="G230" i="29"/>
  <c r="G646" i="29"/>
  <c r="G287" i="29"/>
  <c r="G330" i="29"/>
  <c r="G588" i="29"/>
  <c r="G630" i="24"/>
  <c r="G892" i="24"/>
  <c r="G929" i="24"/>
  <c r="G879" i="24"/>
  <c r="G26" i="24"/>
  <c r="G137" i="24"/>
  <c r="G315" i="24"/>
  <c r="G978" i="24"/>
  <c r="G430" i="24"/>
  <c r="G754" i="24"/>
  <c r="G718" i="24"/>
  <c r="G969" i="24"/>
  <c r="G127" i="24"/>
  <c r="G764" i="24"/>
  <c r="G309" i="24"/>
  <c r="G1004" i="24"/>
  <c r="G157" i="24"/>
  <c r="G298" i="24"/>
  <c r="G248" i="24"/>
  <c r="G908" i="24"/>
  <c r="G857" i="24"/>
  <c r="G747" i="24"/>
  <c r="G1012" i="24"/>
  <c r="G956" i="24"/>
  <c r="G668" i="24"/>
  <c r="G396" i="24"/>
  <c r="G213" i="24"/>
  <c r="G254" i="24"/>
  <c r="G304" i="24"/>
  <c r="G358" i="24"/>
  <c r="G591" i="24"/>
  <c r="G870" i="24"/>
  <c r="G901" i="24"/>
  <c r="G987" i="24"/>
  <c r="G1022" i="24"/>
  <c r="G371" i="24"/>
  <c r="G338" i="24"/>
  <c r="G728" i="24"/>
  <c r="G195" i="24"/>
  <c r="G677" i="24"/>
  <c r="G918" i="24"/>
  <c r="G322" i="24"/>
  <c r="G201" i="24"/>
  <c r="G682" i="24"/>
  <c r="G50" i="24"/>
  <c r="G736" i="24"/>
  <c r="G832" i="24"/>
  <c r="G519" i="24"/>
  <c r="G259" i="24"/>
  <c r="G344" i="24"/>
  <c r="G351" i="24"/>
  <c r="G525" i="24"/>
  <c r="G378" i="24"/>
  <c r="G597" i="24"/>
  <c r="G179" i="24"/>
  <c r="G774" i="24"/>
  <c r="G162" i="24"/>
  <c r="G95" i="24"/>
  <c r="G822" i="24"/>
  <c r="G785" i="24"/>
  <c r="G287" i="24"/>
  <c r="G934" i="24"/>
  <c r="G838" i="24"/>
  <c r="G743" i="24"/>
  <c r="F302" i="25"/>
  <c r="F873" i="25"/>
  <c r="F825" i="25" s="1"/>
  <c r="F221" i="30"/>
  <c r="F220" i="30" s="1"/>
  <c r="G239" i="30"/>
  <c r="G238" i="30" s="1"/>
  <c r="F265" i="30"/>
  <c r="G93" i="30"/>
  <c r="F606" i="30"/>
  <c r="F605" i="30" s="1"/>
  <c r="F590" i="30" s="1"/>
  <c r="F313" i="30"/>
  <c r="F312" i="30" s="1"/>
  <c r="F134" i="25"/>
  <c r="F104" i="25" s="1"/>
  <c r="F622" i="25"/>
  <c r="F195" i="25"/>
  <c r="F570" i="25"/>
  <c r="F517" i="25" s="1"/>
  <c r="F355" i="25"/>
  <c r="F93" i="30"/>
  <c r="F158" i="30"/>
  <c r="F157" i="30" s="1"/>
  <c r="F156" i="30" s="1"/>
  <c r="G553" i="30"/>
  <c r="G543" i="30" s="1"/>
  <c r="G542" i="30" s="1"/>
  <c r="G473" i="30" s="1"/>
  <c r="G442" i="30"/>
  <c r="G430" i="30" s="1"/>
  <c r="G606" i="30"/>
  <c r="G605" i="30" s="1"/>
  <c r="G590" i="30" s="1"/>
  <c r="H72" i="29"/>
  <c r="H513" i="29"/>
  <c r="H503" i="29" s="1"/>
  <c r="G57" i="24"/>
  <c r="G124" i="31"/>
  <c r="F420" i="25"/>
  <c r="G715" i="31"/>
  <c r="F543" i="30"/>
  <c r="F542" i="30" s="1"/>
  <c r="F473" i="30" s="1"/>
  <c r="F486" i="31"/>
  <c r="F394" i="31"/>
  <c r="H291" i="29"/>
  <c r="F23" i="25"/>
  <c r="G158" i="30"/>
  <c r="G157" i="30" s="1"/>
  <c r="G156" i="30" s="1"/>
  <c r="G373" i="30"/>
  <c r="G265" i="30"/>
  <c r="G65" i="30"/>
  <c r="F253" i="21"/>
  <c r="F248" i="21" s="1"/>
  <c r="F247" i="21" s="1"/>
  <c r="F373" i="30"/>
  <c r="G313" i="30"/>
  <c r="G312" i="30" s="1"/>
  <c r="F442" i="30"/>
  <c r="F430" i="30" s="1"/>
  <c r="F65" i="30"/>
  <c r="F596" i="21"/>
  <c r="F348" i="21"/>
  <c r="F347" i="21" s="1"/>
  <c r="F64" i="21"/>
  <c r="F155" i="21"/>
  <c r="F154" i="21" s="1"/>
  <c r="F153" i="21" s="1"/>
  <c r="F385" i="21"/>
  <c r="F384" i="21" s="1"/>
  <c r="F383" i="21" s="1"/>
  <c r="F418" i="21"/>
  <c r="F750" i="21"/>
  <c r="F743" i="21" s="1"/>
  <c r="F495" i="21"/>
  <c r="F483" i="21" s="1"/>
  <c r="F97" i="21"/>
  <c r="F631" i="21"/>
  <c r="F621" i="21" s="1"/>
  <c r="F620" i="21" s="1"/>
  <c r="F785" i="21"/>
  <c r="F230" i="21"/>
  <c r="F229" i="21" s="1"/>
  <c r="F294" i="21"/>
  <c r="F700" i="21"/>
  <c r="F699" i="21" s="1"/>
  <c r="F681" i="21" s="1"/>
  <c r="F47" i="21"/>
  <c r="F46" i="21" s="1"/>
  <c r="F39" i="21" s="1"/>
  <c r="F715" i="31"/>
  <c r="G287" i="31"/>
  <c r="F899" i="25"/>
  <c r="G23" i="31"/>
  <c r="H328" i="29"/>
  <c r="H327" i="29" s="1"/>
  <c r="G32" i="24" l="1"/>
  <c r="G31" i="24" s="1"/>
  <c r="G265" i="24"/>
  <c r="G91" i="24"/>
  <c r="G801" i="24"/>
  <c r="G657" i="24"/>
  <c r="G707" i="24"/>
  <c r="G629" i="24"/>
  <c r="G628" i="24" s="1"/>
  <c r="G220" i="24"/>
  <c r="G120" i="24"/>
  <c r="G644" i="24"/>
  <c r="G993" i="24"/>
  <c r="G535" i="24"/>
  <c r="G566" i="24"/>
  <c r="G846" i="24"/>
  <c r="G357" i="24"/>
  <c r="G356" i="24" s="1"/>
  <c r="G400" i="24"/>
  <c r="G933" i="24"/>
  <c r="G210" i="30"/>
  <c r="F210" i="30"/>
  <c r="H47" i="29"/>
  <c r="H23" i="29" s="1"/>
  <c r="H22" i="29" s="1"/>
  <c r="G742" i="24"/>
  <c r="G22" i="31"/>
  <c r="F22" i="31"/>
  <c r="G92" i="30"/>
  <c r="G23" i="30" s="1"/>
  <c r="H326" i="29"/>
  <c r="H325" i="29" s="1"/>
  <c r="H592" i="29"/>
  <c r="H577" i="29" s="1"/>
  <c r="G329" i="29"/>
  <c r="G347" i="29"/>
  <c r="G642" i="29"/>
  <c r="G641" i="29" s="1"/>
  <c r="G676" i="29"/>
  <c r="G445" i="29"/>
  <c r="G381" i="29"/>
  <c r="G700" i="29"/>
  <c r="G301" i="29"/>
  <c r="G308" i="29"/>
  <c r="G219" i="29"/>
  <c r="G841" i="29"/>
  <c r="G594" i="29"/>
  <c r="G396" i="29"/>
  <c r="G267" i="29"/>
  <c r="G656" i="29"/>
  <c r="G235" i="29"/>
  <c r="G805" i="29"/>
  <c r="G794" i="29"/>
  <c r="G831" i="29"/>
  <c r="G545" i="29"/>
  <c r="G32" i="29"/>
  <c r="G257" i="29"/>
  <c r="G740" i="29"/>
  <c r="G273" i="29"/>
  <c r="G295" i="29"/>
  <c r="G50" i="29"/>
  <c r="G850" i="29"/>
  <c r="G248" i="29"/>
  <c r="G514" i="29"/>
  <c r="G815" i="29"/>
  <c r="G168" i="29"/>
  <c r="G618" i="29"/>
  <c r="G202" i="29"/>
  <c r="G565" i="29"/>
  <c r="G579" i="29"/>
  <c r="G554" i="29"/>
  <c r="G693" i="29"/>
  <c r="G25" i="29"/>
  <c r="G686" i="29"/>
  <c r="G184" i="29"/>
  <c r="G433" i="29"/>
  <c r="G360" i="29"/>
  <c r="G774" i="29"/>
  <c r="G665" i="29"/>
  <c r="G494" i="29"/>
  <c r="G190" i="29"/>
  <c r="G316" i="29"/>
  <c r="G824" i="29"/>
  <c r="G376" i="29"/>
  <c r="G721" i="29"/>
  <c r="G587" i="29"/>
  <c r="G286" i="29"/>
  <c r="G229" i="29"/>
  <c r="G124" i="29"/>
  <c r="G526" i="29"/>
  <c r="G484" i="29"/>
  <c r="G279" i="29"/>
  <c r="G456" i="29"/>
  <c r="G80" i="29"/>
  <c r="G210" i="29"/>
  <c r="G505" i="29"/>
  <c r="G142" i="29"/>
  <c r="G756" i="29"/>
  <c r="G42" i="29"/>
  <c r="G730" i="29"/>
  <c r="G241" i="29"/>
  <c r="G710" i="29"/>
  <c r="G763" i="24"/>
  <c r="G837" i="24"/>
  <c r="G784" i="24"/>
  <c r="G524" i="24"/>
  <c r="G350" i="24"/>
  <c r="G258" i="24"/>
  <c r="G831" i="24"/>
  <c r="G49" i="24"/>
  <c r="G200" i="24"/>
  <c r="G271" i="24"/>
  <c r="G321" i="24"/>
  <c r="G676" i="24"/>
  <c r="G337" i="24"/>
  <c r="G986" i="24"/>
  <c r="G869" i="24"/>
  <c r="G253" i="24"/>
  <c r="G717" i="24"/>
  <c r="G891" i="24"/>
  <c r="G667" i="24"/>
  <c r="G578" i="24"/>
  <c r="G219" i="24"/>
  <c r="G247" i="24"/>
  <c r="G308" i="24"/>
  <c r="G43" i="24"/>
  <c r="G314" i="24"/>
  <c r="G228" i="24"/>
  <c r="G878" i="24"/>
  <c r="G377" i="24"/>
  <c r="G56" i="24"/>
  <c r="G286" i="24"/>
  <c r="G821" i="24"/>
  <c r="G178" i="24"/>
  <c r="G611" i="24"/>
  <c r="G144" i="24"/>
  <c r="G343" i="24"/>
  <c r="G518" i="24"/>
  <c r="G735" i="24"/>
  <c r="G681" i="24"/>
  <c r="G917" i="24"/>
  <c r="G194" i="24"/>
  <c r="G727" i="24"/>
  <c r="G370" i="24"/>
  <c r="G1021" i="24"/>
  <c r="G590" i="24"/>
  <c r="G303" i="24"/>
  <c r="G907" i="24"/>
  <c r="G968" i="24"/>
  <c r="G429" i="24"/>
  <c r="G596" i="24"/>
  <c r="G955" i="24"/>
  <c r="G1011" i="24"/>
  <c r="G856" i="24"/>
  <c r="G297" i="24"/>
  <c r="G1003" i="24"/>
  <c r="G656" i="24"/>
  <c r="G686" i="24"/>
  <c r="G977" i="24"/>
  <c r="G25" i="24"/>
  <c r="G236" i="24"/>
  <c r="G924" i="24"/>
  <c r="F301" i="25"/>
  <c r="F22" i="25" s="1"/>
  <c r="F311" i="30"/>
  <c r="F92" i="30"/>
  <c r="F23" i="30" s="1"/>
  <c r="G311" i="30"/>
  <c r="F96" i="21"/>
  <c r="F20" i="21" s="1"/>
  <c r="F535" i="21"/>
  <c r="F215" i="21"/>
  <c r="F346" i="21"/>
  <c r="G845" i="24" l="1"/>
  <c r="G844" i="24" s="1"/>
  <c r="G643" i="24"/>
  <c r="G90" i="24"/>
  <c r="G264" i="24"/>
  <c r="G800" i="24"/>
  <c r="G706" i="24"/>
  <c r="G992" i="24"/>
  <c r="G762" i="24"/>
  <c r="G534" i="24"/>
  <c r="G741" i="24"/>
  <c r="H21" i="29"/>
  <c r="G22" i="30"/>
  <c r="G346" i="29"/>
  <c r="G345" i="29" s="1"/>
  <c r="G328" i="29"/>
  <c r="G755" i="29"/>
  <c r="G504" i="29"/>
  <c r="G285" i="29"/>
  <c r="G375" i="29"/>
  <c r="G315" i="29"/>
  <c r="G773" i="29"/>
  <c r="G432" i="29"/>
  <c r="G692" i="29"/>
  <c r="G578" i="29"/>
  <c r="G739" i="29"/>
  <c r="G804" i="29"/>
  <c r="G218" i="29"/>
  <c r="G564" i="29"/>
  <c r="G617" i="29"/>
  <c r="G814" i="29"/>
  <c r="G247" i="29"/>
  <c r="G294" i="29"/>
  <c r="G256" i="29"/>
  <c r="G31" i="29"/>
  <c r="G830" i="29"/>
  <c r="G593" i="29"/>
  <c r="G640" i="29"/>
  <c r="G699" i="29"/>
  <c r="G444" i="29"/>
  <c r="G240" i="29"/>
  <c r="G41" i="29"/>
  <c r="G138" i="29"/>
  <c r="G278" i="29"/>
  <c r="G525" i="29"/>
  <c r="G228" i="29"/>
  <c r="G586" i="29"/>
  <c r="G720" i="29"/>
  <c r="G823" i="29"/>
  <c r="G189" i="29"/>
  <c r="G183" i="29"/>
  <c r="G24" i="29"/>
  <c r="G849" i="29"/>
  <c r="G544" i="29"/>
  <c r="G793" i="29"/>
  <c r="G234" i="29"/>
  <c r="G266" i="29"/>
  <c r="G729" i="29"/>
  <c r="G72" i="29"/>
  <c r="G455" i="29"/>
  <c r="G493" i="29"/>
  <c r="G201" i="29"/>
  <c r="G49" i="29"/>
  <c r="G272" i="29"/>
  <c r="G151" i="29"/>
  <c r="G655" i="29"/>
  <c r="G395" i="29"/>
  <c r="G840" i="29"/>
  <c r="G307" i="29"/>
  <c r="G300" i="29"/>
  <c r="G675" i="29"/>
  <c r="G24" i="24"/>
  <c r="G1002" i="24"/>
  <c r="G967" i="24"/>
  <c r="G726" i="24"/>
  <c r="G143" i="24"/>
  <c r="G820" i="24"/>
  <c r="G218" i="24"/>
  <c r="G799" i="24"/>
  <c r="G890" i="24"/>
  <c r="G252" i="24"/>
  <c r="G320" i="24"/>
  <c r="G199" i="24"/>
  <c r="G349" i="24"/>
  <c r="G783" i="24"/>
  <c r="G395" i="24"/>
  <c r="G855" i="24"/>
  <c r="G595" i="24"/>
  <c r="G302" i="24"/>
  <c r="G916" i="24"/>
  <c r="G517" i="24"/>
  <c r="G313" i="24"/>
  <c r="G666" i="24"/>
  <c r="G675" i="24"/>
  <c r="G954" i="24"/>
  <c r="G906" i="24"/>
  <c r="G369" i="24"/>
  <c r="G193" i="24"/>
  <c r="G734" i="24"/>
  <c r="G342" i="24"/>
  <c r="G285" i="24"/>
  <c r="G55" i="24"/>
  <c r="G655" i="24"/>
  <c r="G355" i="24"/>
  <c r="G161" i="24"/>
  <c r="G877" i="24"/>
  <c r="G985" i="24"/>
  <c r="G235" i="24"/>
  <c r="G976" i="24"/>
  <c r="G263" i="24"/>
  <c r="G296" i="24"/>
  <c r="G1010" i="24"/>
  <c r="G589" i="24"/>
  <c r="G376" i="24"/>
  <c r="G246" i="24"/>
  <c r="G577" i="24"/>
  <c r="G716" i="24"/>
  <c r="G868" i="24"/>
  <c r="G336" i="24"/>
  <c r="G270" i="24"/>
  <c r="G48" i="24"/>
  <c r="G523" i="24"/>
  <c r="G836" i="24"/>
  <c r="G30" i="24"/>
  <c r="F22" i="30"/>
  <c r="F19" i="21"/>
  <c r="G761" i="24" l="1"/>
  <c r="G705" i="24"/>
  <c r="G991" i="24"/>
  <c r="G327" i="29"/>
  <c r="G326" i="29" s="1"/>
  <c r="G792" i="29"/>
  <c r="G848" i="29"/>
  <c r="G822" i="29"/>
  <c r="G585" i="29"/>
  <c r="G829" i="29"/>
  <c r="G616" i="29"/>
  <c r="G217" i="29"/>
  <c r="G691" i="29"/>
  <c r="G374" i="29"/>
  <c r="G284" i="29"/>
  <c r="G674" i="29"/>
  <c r="G182" i="29"/>
  <c r="G150" i="29"/>
  <c r="G200" i="29"/>
  <c r="G719" i="29"/>
  <c r="G698" i="29"/>
  <c r="G30" i="29"/>
  <c r="G293" i="29"/>
  <c r="G563" i="29"/>
  <c r="G803" i="29"/>
  <c r="G409" i="29"/>
  <c r="G492" i="29"/>
  <c r="G255" i="29"/>
  <c r="G246" i="29"/>
  <c r="G654" i="29"/>
  <c r="G137" i="29"/>
  <c r="G314" i="29"/>
  <c r="G48" i="29"/>
  <c r="G47" i="29" s="1"/>
  <c r="G728" i="29"/>
  <c r="G543" i="29"/>
  <c r="G394" i="29"/>
  <c r="G843" i="24"/>
  <c r="G54" i="24"/>
  <c r="G733" i="24"/>
  <c r="G394" i="24"/>
  <c r="G319" i="24"/>
  <c r="G156" i="24"/>
  <c r="G654" i="24"/>
  <c r="G516" i="24"/>
  <c r="G867" i="24"/>
  <c r="G876" i="24"/>
  <c r="G269" i="24"/>
  <c r="G576" i="24"/>
  <c r="G984" i="24"/>
  <c r="G923" i="24"/>
  <c r="G284" i="24"/>
  <c r="G192" i="24"/>
  <c r="G217" i="24"/>
  <c r="G819" i="24"/>
  <c r="G1009" i="24"/>
  <c r="G798" i="24"/>
  <c r="G348" i="24"/>
  <c r="G335" i="24"/>
  <c r="G234" i="24"/>
  <c r="G368" i="24"/>
  <c r="G142" i="24"/>
  <c r="G966" i="24"/>
  <c r="G983" i="24" l="1"/>
  <c r="G375" i="24"/>
  <c r="G697" i="29"/>
  <c r="G673" i="29"/>
  <c r="G313" i="29"/>
  <c r="G408" i="29"/>
  <c r="G847" i="29"/>
  <c r="G325" i="29"/>
  <c r="G373" i="29"/>
  <c r="G216" i="29"/>
  <c r="G653" i="29"/>
  <c r="G254" i="29"/>
  <c r="G199" i="29"/>
  <c r="G23" i="29"/>
  <c r="G763" i="29"/>
  <c r="G542" i="29"/>
  <c r="G136" i="29"/>
  <c r="G491" i="29"/>
  <c r="G292" i="29"/>
  <c r="G821" i="29"/>
  <c r="G233" i="24"/>
  <c r="G842" i="24"/>
  <c r="G141" i="24"/>
  <c r="G1008" i="24"/>
  <c r="G818" i="24"/>
  <c r="G23" i="24"/>
  <c r="G922" i="24"/>
  <c r="G533" i="24"/>
  <c r="G610" i="24"/>
  <c r="G797" i="24"/>
  <c r="G965" i="24"/>
  <c r="G334" i="24"/>
  <c r="G283" i="24"/>
  <c r="G367" i="24"/>
  <c r="G982" i="24" l="1"/>
  <c r="G253" i="29"/>
  <c r="G393" i="29"/>
  <c r="G372" i="29" s="1"/>
  <c r="G820" i="29"/>
  <c r="G454" i="29"/>
  <c r="G513" i="29"/>
  <c r="G652" i="29"/>
  <c r="G135" i="29"/>
  <c r="G215" i="29"/>
  <c r="G762" i="29"/>
  <c r="G846" i="29"/>
  <c r="G306" i="29"/>
  <c r="G515" i="24"/>
  <c r="G333" i="24"/>
  <c r="G740" i="24"/>
  <c r="G875" i="24"/>
  <c r="G588" i="24"/>
  <c r="G22" i="24"/>
  <c r="G503" i="29" l="1"/>
  <c r="G727" i="29"/>
  <c r="G291" i="29"/>
  <c r="G592" i="29"/>
  <c r="G443" i="29"/>
  <c r="G22" i="29"/>
  <c r="G874" i="24"/>
  <c r="G725" i="24"/>
  <c r="G577" i="29" l="1"/>
  <c r="G726" i="29"/>
  <c r="G21" i="29" l="1"/>
  <c r="G21" i="24" l="1"/>
</calcChain>
</file>

<file path=xl/sharedStrings.xml><?xml version="1.0" encoding="utf-8"?>
<sst xmlns="http://schemas.openxmlformats.org/spreadsheetml/2006/main" count="24036" uniqueCount="860">
  <si>
    <t>Мероприятие "Капитальный ремонт путевода через железную дорогу по ул.Трассовой в г.Владикавказе"</t>
  </si>
  <si>
    <t>10 0 07 00168</t>
  </si>
  <si>
    <t>Мероприятие "Ремонт детских и спортивных площадок в г.Владикавказе"</t>
  </si>
  <si>
    <t>10 0 17 00177</t>
  </si>
  <si>
    <t>Мероприятие "Ремонт подземного перехода"</t>
  </si>
  <si>
    <t>10 0 19 00179</t>
  </si>
  <si>
    <t>10 0 09 00169</t>
  </si>
  <si>
    <t>10 0 10 00170</t>
  </si>
  <si>
    <t>Мероприятие "Софинансирование разработки проектно-сметной документации в 2019 году"</t>
  </si>
  <si>
    <t>10 0 11 00171</t>
  </si>
  <si>
    <t>Мероприятие "Благоустройство парков, скверов, набережных и дворовых территорий"</t>
  </si>
  <si>
    <t>Мероприятие "Ремонт стадиона им. В.М. Коняева в г.Владикавказе"</t>
  </si>
  <si>
    <t>10 0 12 00172</t>
  </si>
  <si>
    <t>Муниципальная программа "Формирование современной городской среды на территории муниципального образования г.Владикавказа на 2018-2022 годы"</t>
  </si>
  <si>
    <t>13 0 00 00000</t>
  </si>
  <si>
    <t>99 9 0М L4970</t>
  </si>
  <si>
    <t>Мероприятие "Организация консультативной поддержки субъектам малого и среднего предпринимательства по вопросам организации торговли, кредитования, налогооблажения, бухгалтерского учета, преодоления административных барьеров, в том числе и на принципах аутсорсинга"</t>
  </si>
  <si>
    <t>Мероприятие "Подготовка и издание информационно-справочных пособий для предпринимателей по вопросам регулирования торговой деятельности, налогооблажения, бухгалтерского учета, кредитования, а также вопросов, связанных с началом предпринимательской деятельности"</t>
  </si>
  <si>
    <t>Мероприятие "Организация и проведение конференций, семинаров, "круглых столов", участие в семинарах, конференциях и выставках по вопросам малого и среднего предпринимательства"</t>
  </si>
  <si>
    <t>Мероприятие "Организация и проведение выставок, ярмарок, коллективных стендов малых и средних предприятий на выставочных мероприятиях"</t>
  </si>
  <si>
    <t>03 3 R1 53934</t>
  </si>
  <si>
    <t>Приложение №1</t>
  </si>
  <si>
    <t>Финансовое обеспечение дорожной деятельности в рамках реализации федерального проекта "Дорожная сеть" (Реконструкция, капитальный ремонт и ремонт автомобильных дорог местного значения (улично-дорожной сети) г.Владикавказа</t>
  </si>
  <si>
    <t>Реконструкция, капитальный ремонт и ремонт автомобильных дорог местного значения (улично-дорожной сети) г.Владикавказа</t>
  </si>
  <si>
    <t>03 3 R1 28072</t>
  </si>
  <si>
    <t>Мероприятия по снижению количества мест концентрации дорожно-транспортных происшествий (аварийно-опасных участков) на дорожной сети в два раза по сравнению с 2017 годом на автодорогах местного значения (улично-дорожной сети) г.Владикавказа</t>
  </si>
  <si>
    <t>03 3 R1 28076</t>
  </si>
  <si>
    <t>Мероприятие "Подготовка технических заданий, тех.условий при формировании инвестиционных проектов, в том числе проектов муниципально-частного партнерства"</t>
  </si>
  <si>
    <t>05 0 01 00126</t>
  </si>
  <si>
    <t>05 0 02 00127</t>
  </si>
  <si>
    <t>05 0 03 00128</t>
  </si>
  <si>
    <t>05 0 04 00129</t>
  </si>
  <si>
    <t>05 0 05 00130</t>
  </si>
  <si>
    <t>Мероприятие по корректировке генерального плана и правил землепользования и застройки г.Владикавказ</t>
  </si>
  <si>
    <t>Разработка нормативов градостроительного проектирования г.Владикавказ</t>
  </si>
  <si>
    <t xml:space="preserve">Проведение работ по координированию границ функциональных зон правил землепользования и застройки </t>
  </si>
  <si>
    <t>Дополнения к Правилам землепользования и застройки,  ограничевающих строительство, реконструкцию в зонах подверженных паводкам</t>
  </si>
  <si>
    <t>99 9 00 00131</t>
  </si>
  <si>
    <t>99 9 00 00132</t>
  </si>
  <si>
    <t>99 9 00 00133</t>
  </si>
  <si>
    <t>02 0 01 00136</t>
  </si>
  <si>
    <t>04 0 11 00161</t>
  </si>
  <si>
    <t>99 9 00 00142</t>
  </si>
  <si>
    <t>Подпрограмма "Вовлечение общественности в предупреждение правонарушений"</t>
  </si>
  <si>
    <t>Мероприятие "Материальное стимулирование деятельности народных дружинников"</t>
  </si>
  <si>
    <t>12 1 01 00124</t>
  </si>
  <si>
    <t>12 1 00 00000</t>
  </si>
  <si>
    <t>99 9 00 00146</t>
  </si>
  <si>
    <t>Муниципальная программа "Развитие транспортной инфраструктуры г.Владикавказа на 2018-2021 годы"</t>
  </si>
  <si>
    <t>03 2 01 00148</t>
  </si>
  <si>
    <t>03 3 02 00149</t>
  </si>
  <si>
    <t>03 1 02 00147</t>
  </si>
  <si>
    <t>03 3 04 00147</t>
  </si>
  <si>
    <t>03 4 01 00150</t>
  </si>
  <si>
    <t>03 4 02 00151</t>
  </si>
  <si>
    <t>04 0 01 00152</t>
  </si>
  <si>
    <t>04 0 02 00153</t>
  </si>
  <si>
    <t>04 0 03 00154</t>
  </si>
  <si>
    <t>04 0 04 00155</t>
  </si>
  <si>
    <t>04 0 05 00156</t>
  </si>
  <si>
    <t>04 0 06 00157</t>
  </si>
  <si>
    <t>04 0 07 00147</t>
  </si>
  <si>
    <t>04 0 08 00158</t>
  </si>
  <si>
    <t>04 0 09 00159</t>
  </si>
  <si>
    <t>04 0 10 00160</t>
  </si>
  <si>
    <t>Муниципальная программа "Развитие жилищно-коммунального хозяйства муниципального образования город Владикавказ на 2018-2021 годы"</t>
  </si>
  <si>
    <t>09 2 01 00198</t>
  </si>
  <si>
    <t>09 1 02 00197</t>
  </si>
  <si>
    <t>Подпрограмма  «Снос аварийного жилья в г.Владикавказе»</t>
  </si>
  <si>
    <t>09 5 00 00000</t>
  </si>
  <si>
    <t>09 5 01 00203</t>
  </si>
  <si>
    <t>09 5 02 00204</t>
  </si>
  <si>
    <t xml:space="preserve"> 09 7 06 00210</t>
  </si>
  <si>
    <t xml:space="preserve"> 09 7 0М S9601</t>
  </si>
  <si>
    <t>09 4 01 00202</t>
  </si>
  <si>
    <t>09 6 00 00205</t>
  </si>
  <si>
    <t>09 3 02 00200</t>
  </si>
  <si>
    <t>Мероприятие "Проведение энергосервисного аудита и разработка программы энергосбережения"</t>
  </si>
  <si>
    <t>09 3 03 00201</t>
  </si>
  <si>
    <t>09 7 02 00206</t>
  </si>
  <si>
    <t>09 7 03 00207</t>
  </si>
  <si>
    <t>09 7 04 00208</t>
  </si>
  <si>
    <t>09 7 00 00110</t>
  </si>
  <si>
    <t>09 7 00 00190</t>
  </si>
  <si>
    <t xml:space="preserve"> 09 7 05 00209</t>
  </si>
  <si>
    <t>Муниципальная программа "Развитие  молодежной политики, физической культуры и спорта в МО г.Владикавказ на 2018 -2021 годы"</t>
  </si>
  <si>
    <t>11 1 01 00180</t>
  </si>
  <si>
    <t>11 3 01 00182</t>
  </si>
  <si>
    <t>13 0 F2 55554</t>
  </si>
  <si>
    <t>11 2 01 00181</t>
  </si>
  <si>
    <t>08 3 01 00193</t>
  </si>
  <si>
    <t>08 2 01 00190</t>
  </si>
  <si>
    <t>08 2 02 00191</t>
  </si>
  <si>
    <t>08 2 03 00192</t>
  </si>
  <si>
    <t>08 3 03 00195</t>
  </si>
  <si>
    <t>Финансовое обеспечение деятельности МБУК "Централизованная библиотечная система г.Владикавказа"</t>
  </si>
  <si>
    <t>08 3 02 00194</t>
  </si>
  <si>
    <t>08 1 02 00184</t>
  </si>
  <si>
    <t>08 1 01 00183</t>
  </si>
  <si>
    <t>08 1 03 00185</t>
  </si>
  <si>
    <t>08 1 04 00186</t>
  </si>
  <si>
    <t>08 1 05 00187</t>
  </si>
  <si>
    <t>08 1 06 00188</t>
  </si>
  <si>
    <t>08 1 07 00189</t>
  </si>
  <si>
    <t>Компенсация части родительской платы за содержание ребёнка в государственных и образовательных учреждениях, реализующих основную общеобразовательную программу дошкольного образования в соответствии с Законом Республики Северная Осетия-Алания от 31 июля 2006 года №42-РЗ "Об образовании"</t>
  </si>
  <si>
    <t>Субсидии юридическим лицам (кроме некоммерческих организаций), индивидуальным предпринимателям, физическим лицам</t>
  </si>
  <si>
    <t>Уплата налогов, сборов и иных платежей</t>
  </si>
  <si>
    <t>10</t>
  </si>
  <si>
    <t>Субсидии автономным учреждениям</t>
  </si>
  <si>
    <t>620</t>
  </si>
  <si>
    <t>310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</si>
  <si>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</si>
  <si>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</si>
  <si>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</si>
  <si>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</si>
  <si>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</si>
  <si>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</si>
  <si>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</si>
  <si>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</si>
  <si>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</si>
  <si>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</si>
  <si>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</si>
  <si>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</si>
  <si>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</si>
  <si>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</si>
  <si>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</si>
  <si>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</si>
  <si>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</si>
  <si>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</si>
  <si>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</si>
  <si>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</si>
  <si>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</si>
  <si>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</si>
  <si>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</si>
  <si>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</si>
  <si>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</si>
  <si>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</si>
  <si>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бюджетам городских округов на выравнивание бюджетной обеспеченности</t>
  </si>
  <si>
    <t xml:space="preserve">Расходы на выплаты по оплате труда работников органов местного самоуправления  </t>
  </si>
  <si>
    <t>Расходы на осуществление полномочий Республики Северная Осетия-Алания по организации деятельности административных комиссий</t>
  </si>
  <si>
    <t>Осуществление полномочий Республики Северная Осетия-Алания по организации и поддержки учреждений культуры</t>
  </si>
  <si>
    <t>Непрограммные расходы на обеспечения функционирования Собрания представителей г.Владикавказ</t>
  </si>
  <si>
    <t>Расходы на выплаты по оплате труда работников представительного органа</t>
  </si>
  <si>
    <t>Субвенции бюджетам субъектов Российской Федерации и муниципальных образований</t>
  </si>
  <si>
    <t>Подраздел</t>
  </si>
  <si>
    <t>Раздел</t>
  </si>
  <si>
    <t>Непрограммные расходы представительного органа</t>
  </si>
  <si>
    <t>99 9 00 00139</t>
  </si>
  <si>
    <t>Обеспечение жильем  молодых семей</t>
  </si>
  <si>
    <t>Расходы на выплаты по оплате труда работников административной коммиссии</t>
  </si>
  <si>
    <t>Софинансирование местного бюджета городского округа г. Владикавказ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</si>
  <si>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Расходы на выплаты персоналу Контрольно-счетной палаты муниципального образования г.Владикавказ (Дзауджикау)</t>
  </si>
  <si>
    <t>Расходы на обеспечение функций Контрольно-счетной палаты муниципального образования г.Владикавказ (Дзауджикау)</t>
  </si>
  <si>
    <t>Расходы на содержание ВМКУ "Правовой центр"</t>
  </si>
  <si>
    <t>Мероприятие "Сопровождение системы электронного взаимодействия АМС г.Владикавказа (СЭВ)"</t>
  </si>
  <si>
    <t>Мероприятие "Сопровождение системы электронного делопрозводства и документооборота (СЭД)"</t>
  </si>
  <si>
    <t>Мероприятие "Сопровождение информационной системы для взаимодействия с Государственной информационной системой о государственных и муниципальных платежах (ГИС ГМП)"</t>
  </si>
  <si>
    <t>Мероприятие "Справочно-правовые системы (Гарант, Консультант и т.д.)"</t>
  </si>
  <si>
    <t>Мероприятие "Оплата услуг городской, междугородней и международной телефонной связи"</t>
  </si>
  <si>
    <t>Мероприятие "Предоставление цифровых оптоволоконных каналов связи"</t>
  </si>
  <si>
    <t>Подпрограмма "Обеспечение защиты информации"</t>
  </si>
  <si>
    <t>01 3 00 00000</t>
  </si>
  <si>
    <t>Мероприятие "Аттестация, контроль эффективности защиты государственной тайны"</t>
  </si>
  <si>
    <t>Мероприятие "Организация защиты информационных систем персональных данных"</t>
  </si>
  <si>
    <t>Расходы на содержание ВМКУ "Управление по делам ГО и ЧС"</t>
  </si>
  <si>
    <t>03 3 0Р S6740</t>
  </si>
  <si>
    <t>03 3 0М S6740</t>
  </si>
  <si>
    <t xml:space="preserve">Софинансирование на обеспечение мероприятий по формированию современной городской среды </t>
  </si>
  <si>
    <t>Расходы на содержание ВМКУ "ТИЦ - Владикавказ - ТВ"</t>
  </si>
  <si>
    <t>Субсидии бюджетам субъектов РФ и муниципальных образований (межбюджетные субсидии)</t>
  </si>
  <si>
    <t xml:space="preserve">Предоставление субсидии местному бюджету городского округа г. Владикавказ на дорожную деятельность в отношении автомобильных дорог общего пользования местного значения </t>
  </si>
  <si>
    <t xml:space="preserve">Расходы на обеспечение деятельности (оказания услуг)  муниципального учреждения ВМБУ РГГ "Владикавказ"   </t>
  </si>
  <si>
    <t>Мероприятие "Оказание материальной помощи малообеспеченным семьям (одиноко проживающим гражданам) по обращениям"</t>
  </si>
  <si>
    <t>Расходы на учреждение по обеспечению хозяйственного обслуживания ВМКУ ТХО АМС г. Владикавказа</t>
  </si>
  <si>
    <t>Подпрограмма "Обеспечение деятельности муниципальных учреждений подведомственных КМПФКС АМС г.Владикавказа"</t>
  </si>
  <si>
    <t>11 0 00 00000</t>
  </si>
  <si>
    <t>11 3 00 00000</t>
  </si>
  <si>
    <t>Мероприятие "Обеспечение деятельности учреждений дополнительного образования детей"</t>
  </si>
  <si>
    <t>Подпрограмма "Реализация мероприятий в области  молодежной политики"</t>
  </si>
  <si>
    <t>11 1 00 00000</t>
  </si>
  <si>
    <t>99 9 00 00104</t>
  </si>
  <si>
    <t>Подпрограмма "Поддержка и совершенствование информационно-коммуникационной инфраструктуры"</t>
  </si>
  <si>
    <t>01 2 01 00108</t>
  </si>
  <si>
    <t>01 2 02 00109</t>
  </si>
  <si>
    <t>01 2 04 00112</t>
  </si>
  <si>
    <t>01 2 05 00113</t>
  </si>
  <si>
    <t>01 2 06 00114</t>
  </si>
  <si>
    <t>01 2 07 00115</t>
  </si>
  <si>
    <t>01 2 08 00116</t>
  </si>
  <si>
    <t>01 2 09 00117</t>
  </si>
  <si>
    <t>01 3 01 00118</t>
  </si>
  <si>
    <t>01 3 04 00121</t>
  </si>
  <si>
    <t>01 3 05 00122</t>
  </si>
  <si>
    <t>06 0 00 00123</t>
  </si>
  <si>
    <t>12 0 01 00124</t>
  </si>
  <si>
    <t>99 9 00 00125</t>
  </si>
  <si>
    <t>Муниципальная программа "Профилактика правонарушений в городе Владикавказе на 2019 год"</t>
  </si>
  <si>
    <t>Подпрограмма "Капитальный ремонт  многоквартирных домов в г.Владикавказе"</t>
  </si>
  <si>
    <t>Мероприятие "Содержание бюджетных учреждений жилищно-коммунального хозяйства"</t>
  </si>
  <si>
    <t>Мероприятие "Содержание казенных учреждений жилищно-коммунального хозяйства"</t>
  </si>
  <si>
    <t>Субвенции бюджетам городских округов на выполнение передаваемых полномочий субъектов Российской Федерации (организация деятельности административных комиссий)</t>
  </si>
  <si>
    <t>Физическая культура</t>
  </si>
  <si>
    <t>Подпрограмма "Реализация мероприятий в области физической культуре и спорта, пропаганда здорового образа жизни"</t>
  </si>
  <si>
    <t>Мероприятие "Субсидия социально-ориентированным некоммерческим организациям патриотической направленности"</t>
  </si>
  <si>
    <t>11 2 00 00000</t>
  </si>
  <si>
    <t>Подпрограмма "Обеспечение деятельности аппарата КМПФКС АМС г.Владикавказа"</t>
  </si>
  <si>
    <t>11 4 00 00000</t>
  </si>
  <si>
    <t>11 4 00 00110</t>
  </si>
  <si>
    <t>11 4 00 00190</t>
  </si>
  <si>
    <t>Управление муниципального имущества и земельных ресурсов АМС г. Владикавказа</t>
  </si>
  <si>
    <t>08 4 00 00110</t>
  </si>
  <si>
    <t>08 4 00 00190</t>
  </si>
  <si>
    <t xml:space="preserve">Непрограммные расходы органов местного самоуправления </t>
  </si>
  <si>
    <t>Подпрограмма «Развитие культурной жизни г.Владикавказа»</t>
  </si>
  <si>
    <t>01</t>
  </si>
  <si>
    <t>00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</si>
  <si>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</si>
  <si>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</si>
  <si>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</si>
  <si>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</si>
  <si>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</si>
  <si>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</si>
  <si>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 xml:space="preserve">Обеспечение жильем молодых семей </t>
  </si>
  <si>
    <t>99 9 0Р L4970</t>
  </si>
  <si>
    <t>120</t>
  </si>
  <si>
    <t>Расходы на обеспечение функций органов местного самоуправления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</si>
  <si>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</si>
  <si>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</si>
  <si>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</si>
  <si>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</si>
  <si>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</si>
  <si>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850</t>
  </si>
  <si>
    <t>11</t>
  </si>
  <si>
    <t>Резервный фонд администрации местного самоуправления</t>
  </si>
  <si>
    <t>Резервные средства</t>
  </si>
  <si>
    <t>13</t>
  </si>
  <si>
    <t>300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</si>
  <si>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</si>
  <si>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</si>
  <si>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</si>
  <si>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000 1 11 05000 04 0000 120</t>
  </si>
  <si>
    <t>Подпрограмма «Обеспечение деятельности и выполнения функций УТДС АМС г.Владикавказа»</t>
  </si>
  <si>
    <t xml:space="preserve">Обеспечение функционирования Финансового управления АМС  г.Владикавказ </t>
  </si>
  <si>
    <t>Расходы на выплаты по оплате труда работников Финансового управления АМС  г.Владикавказ</t>
  </si>
  <si>
    <t>Расходы на обеспечение функций Финансового управления АМС  г.Владикавказ</t>
  </si>
  <si>
    <t>12 0 00 00000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</si>
  <si>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</si>
  <si>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</si>
  <si>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000 8 50 00000 00 0000 000</t>
  </si>
  <si>
    <t>ВСЕГО ДОХОДОВ</t>
  </si>
  <si>
    <t xml:space="preserve">Иные непрограммные расходы </t>
  </si>
  <si>
    <t>Мероприятие "Проведение праздничных  мероприятий"</t>
  </si>
  <si>
    <t>Наименование</t>
  </si>
  <si>
    <t>Целевая статья расходов</t>
  </si>
  <si>
    <t>Вид расхода</t>
  </si>
  <si>
    <t>ВСЕГО РАСХОДОВ</t>
  </si>
  <si>
    <t>ОБЩЕГОСУДАРСТВЕННЫЕ ВОПРОСЫ</t>
  </si>
  <si>
    <t>Получение кредитов от кредитных организаций бюджетами городских округов в валюте Российской Федерации</t>
  </si>
  <si>
    <t>ИСТОЧНИКИ ВНУТРЕННЕГО ФИНАНСИРОВАНИЯ ДЕФИЦИТОВ БЮДЖЕТА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</si>
  <si>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</si>
  <si>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</si>
  <si>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</si>
  <si>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 xml:space="preserve">Погашение кредитов, полученных от кредитных организаций бюджетами городских округов в валюте Российской Федерации </t>
  </si>
  <si>
    <t>000 1 03 02000 00 0000 000</t>
  </si>
  <si>
    <t>000 1 05 04000 02 0000 110</t>
  </si>
  <si>
    <t>000 1 11 05012 04 0000 120</t>
  </si>
  <si>
    <t>000 1 13 00000 01 0000 130</t>
  </si>
  <si>
    <t>Ведомственная структура расходов бюджета муниципального образования г.Владикавказ на 2019 год</t>
  </si>
  <si>
    <t>99 9 00 00143</t>
  </si>
  <si>
    <t>99 9 00 00144</t>
  </si>
  <si>
    <t>99 9 00 00145</t>
  </si>
  <si>
    <t>Обеспечение проведения выборов и референдумов</t>
  </si>
  <si>
    <t>Специальные расходы</t>
  </si>
  <si>
    <t>880</t>
  </si>
  <si>
    <t>Подпрограмма "Энергосбережение и повышение энергетической эффективности на территории города Владикавказа"</t>
  </si>
  <si>
    <t>Непрограммые расходы органов местного самоуправления</t>
  </si>
  <si>
    <t>09 7 00 00000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</si>
  <si>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</si>
  <si>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Расходы на содержание ВМБУ "Центр цифрового развития и информационных технологий"</t>
  </si>
  <si>
    <t>01 1 02 00107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</si>
  <si>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</si>
  <si>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Выкуп нежилых помещений в аварийных домах</t>
  </si>
  <si>
    <t>99 9 00 00105</t>
  </si>
  <si>
    <t>000 1 14 02043 04 0000 410</t>
  </si>
  <si>
    <t>Субвенции бюджетам городских округов на выполнение передаваемых полномочий субъектов  Российской Федерации</t>
  </si>
  <si>
    <t>612</t>
  </si>
  <si>
    <t>Мероприятие "Проектные работы"</t>
  </si>
  <si>
    <t>78 9 00 00000</t>
  </si>
  <si>
    <t>Приложение №5</t>
  </si>
  <si>
    <t>07 2 01 00000</t>
  </si>
  <si>
    <t>Субсидии некоммерческим организациям (за исключением государственных (муниципальных) учреждений)</t>
  </si>
  <si>
    <t>605</t>
  </si>
  <si>
    <t xml:space="preserve">603 </t>
  </si>
  <si>
    <t>08 3 0Ф L5190</t>
  </si>
  <si>
    <t>Субсидия бюджетам городских округов на поддержку отрасли культуры</t>
  </si>
  <si>
    <t>000 2 02 25519 04 0000 150</t>
  </si>
  <si>
    <t>Мероприятия на поддержку отрасли культуры за счет средств бюджетов</t>
  </si>
  <si>
    <t>Управление благоустройства и озеленения администрации местного самоуправления г.Владикавказ</t>
  </si>
  <si>
    <t>Расходы на обеспечение функций представительного органа</t>
  </si>
  <si>
    <t>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учреждениях республики в каникулярное время</t>
  </si>
  <si>
    <t>000 1 03 00000 00 0000 000</t>
  </si>
  <si>
    <t>Налоги на товары( работы, услуги) реализуемые на территории РФ</t>
  </si>
  <si>
    <t>000 1 06 02000 02 0000 110</t>
  </si>
  <si>
    <t>Налог на имущество организаций</t>
  </si>
  <si>
    <t>Прочие неналоговые доходы</t>
  </si>
  <si>
    <t>000 1 17 00000 00 0000 180</t>
  </si>
  <si>
    <t>Исполнение судебных актов</t>
  </si>
  <si>
    <t>Подпрограмма "Обеспечение деятельности и выполнения функций Комитета ЖКХЭ"</t>
  </si>
  <si>
    <t>09 4 00 00000</t>
  </si>
  <si>
    <t>Подпрограмма "Техническое оснащение коммунальной инфраструктуры г.Владикавказ"</t>
  </si>
  <si>
    <t>830</t>
  </si>
  <si>
    <t>Уплата прочих налогов, сборов и иных платежей</t>
  </si>
  <si>
    <t>Иные источники внутреннего финансирования дефицитов бюджетов</t>
  </si>
  <si>
    <t>Массовый спорт</t>
  </si>
  <si>
    <t>Публичные нормативные социальные выплаты гражданам</t>
  </si>
  <si>
    <t>Приложение №9</t>
  </si>
  <si>
    <t>Приложение №11</t>
  </si>
  <si>
    <t>Приложение №7</t>
  </si>
  <si>
    <t>Обеспечение функционирования Главы  муниципального образования</t>
  </si>
  <si>
    <t>Взносы за капитальный ремонт квартир и домовладений, находящихся в муниципальной собственности</t>
  </si>
  <si>
    <t>13 0 F2 55550</t>
  </si>
  <si>
    <t>13 0 0М 55550</t>
  </si>
  <si>
    <t>Закупка товаров, работ и услугдля государственных (муниципальных) нужд</t>
  </si>
  <si>
    <t>07 0 00 00000</t>
  </si>
  <si>
    <t>07 1 00 00000</t>
  </si>
  <si>
    <t>07 1 01 00000</t>
  </si>
  <si>
    <t>07 1 0Р 21240</t>
  </si>
  <si>
    <t>Управление транспорта и дорожного строительства администрации местного самоуправления города Владикавказа</t>
  </si>
  <si>
    <t>602</t>
  </si>
  <si>
    <t>07 1 02 00000</t>
  </si>
  <si>
    <t>07 1 03 00000</t>
  </si>
  <si>
    <t>07 2 00 00000</t>
  </si>
  <si>
    <t>07 3 00 00000</t>
  </si>
  <si>
    <t>07 4 00 00000</t>
  </si>
  <si>
    <t>Мероприятие "Обеспечение деятельности (оказания услуг) ВМКУ "Организационно-методический центр"</t>
  </si>
  <si>
    <t>Мероприятие "Ремонт школ и детских садов"</t>
  </si>
  <si>
    <t>99 9 0Р 00000</t>
  </si>
  <si>
    <t>Подпрограмма "Повышение эффективности муниципального управления за счет внедрения и использования современных информационно-коммуникационных технологий"</t>
  </si>
  <si>
    <t>01 1 00 00000</t>
  </si>
  <si>
    <t>Мероприятие "Внедрение  и сопровождение информационной системы обеспечения градостроительной деятельности (ИСОГД)"</t>
  </si>
  <si>
    <t>Мероприятие "Обеспечение деятельности Управления образования АМС г.Владикавказа"</t>
  </si>
  <si>
    <t>Мероприятие "Оказание адресной поддержки детям из малообеспеченных семей, в ходе подготовки к новому учебному году"</t>
  </si>
  <si>
    <t>Мероприятие "Обеспечение горячим питанием детей из малообеспеченных семей"</t>
  </si>
  <si>
    <t>Налог взимаемый в связи с применением патентной системы налогообложения</t>
  </si>
  <si>
    <t>Субсидии бюджетам городских округов на реализацию программ формирования современной городской среды</t>
  </si>
  <si>
    <t xml:space="preserve">Реализация мероприятий по формированию современной городской среды </t>
  </si>
  <si>
    <t>Расходы на учреждение по обеспечению хозяйственного обслуживания ВМКУ ТХО АМС г.Владикавказа</t>
  </si>
  <si>
    <t>Приложение №4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</si>
  <si>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 образования в муниципальных дошкольных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</si>
  <si>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(оздоровительная кампания)</t>
  </si>
  <si>
    <t>Субвенции бюджетам городских округов на выполнение передаваемых полномочий субъектов Российской Федерации (организация и поддержка учреждений культуры)</t>
  </si>
  <si>
    <t>Правобережная администрация (префектура) г.Владикавказа</t>
  </si>
  <si>
    <t>Левобережная администрация (префектура) г.Владикавказа</t>
  </si>
  <si>
    <t>601</t>
  </si>
  <si>
    <t>Комитет молодежной политики, физической культуры и спорта администрации местного самоуправления г.Владикавказа</t>
  </si>
  <si>
    <t>Другие вопросы в области физической культуры и спорта</t>
  </si>
  <si>
    <t xml:space="preserve">Субвенции на компенсацию части родительской платы за содержание ребенка в муниципальных образовательных организациях, реализующих основную общеобразовательную программу дошкольного образования </t>
  </si>
  <si>
    <t>Закупка товаров, работ, услуг для государственных (муниципальных) нужд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</si>
  <si>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</si>
  <si>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</si>
  <si>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</si>
  <si>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</si>
  <si>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</si>
  <si>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</si>
  <si>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</si>
  <si>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</si>
  <si>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</si>
  <si>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</si>
  <si>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</si>
  <si>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</si>
  <si>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</si>
  <si>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</si>
  <si>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</si>
  <si>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</si>
  <si>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000 01 03 01 00 04 0000 710</t>
  </si>
  <si>
    <t>000 01 03 01 00 00 0000 700</t>
  </si>
  <si>
    <t>000 01 03 01 00 00 0000 800</t>
  </si>
  <si>
    <t>000 01 03 01 00 04 0000 810</t>
  </si>
  <si>
    <t xml:space="preserve">Бюджетные кредиты от других бюджетов бюджетной системы Российской Федерации
</t>
  </si>
  <si>
    <t>88 0 00 00000</t>
  </si>
  <si>
    <t>88 9 00 00000</t>
  </si>
  <si>
    <t>88 9 00 00110</t>
  </si>
  <si>
    <t>99 0 00 00000</t>
  </si>
  <si>
    <t>99 9 00 00000</t>
  </si>
  <si>
    <t>99 9 00 00110</t>
  </si>
  <si>
    <t>99 9 00 00190</t>
  </si>
  <si>
    <t>01 0 00 00000</t>
  </si>
  <si>
    <t>05 0 00 00000</t>
  </si>
  <si>
    <t>77 0 00 00000</t>
  </si>
  <si>
    <t>77 9 00 00000</t>
  </si>
  <si>
    <t xml:space="preserve">77 9 00 00000 </t>
  </si>
  <si>
    <t>77 9 00 00110</t>
  </si>
  <si>
    <t xml:space="preserve">77 9 00 00110 </t>
  </si>
  <si>
    <t>78 0 00 00000</t>
  </si>
  <si>
    <t>Капитальные вложения в объекты государственной (муниципальной) собственности</t>
  </si>
  <si>
    <t>Мероприятие "Ремонт зданий муниципальной собственности"</t>
  </si>
  <si>
    <t>Мероприятие "Кредиторская задолженность"</t>
  </si>
  <si>
    <t>78 9 00 00110</t>
  </si>
  <si>
    <t>78 9 00 00190</t>
  </si>
  <si>
    <t>99 9 0Р 22740</t>
  </si>
  <si>
    <t>93 0 00 00000</t>
  </si>
  <si>
    <t>93 9 00 00000</t>
  </si>
  <si>
    <t>93 9 00 00110</t>
  </si>
  <si>
    <t>93 9 00 00190</t>
  </si>
  <si>
    <t>03 0 00 00000</t>
  </si>
  <si>
    <t>03 1 00 00000</t>
  </si>
  <si>
    <t>06 0 00 00000</t>
  </si>
  <si>
    <t>Мероприятие  "Расходы по проектированию, строительству (реконструкции) автомобильных дорог общего пользования местного значения от поступления акцизов"</t>
  </si>
  <si>
    <t>Софинансирование местного бюджета городского округа г. Владикавказ на дорожную деятельность в отношении автомобильных дорог общего пользования местного значения"</t>
  </si>
  <si>
    <t>Мероприятие "Озеленение"</t>
  </si>
  <si>
    <t>09 0 00 00000</t>
  </si>
  <si>
    <t>09 2 00 00000</t>
  </si>
  <si>
    <t>Подпрограмма «Ремонт зданий и объектов  муниципальной собственности»</t>
  </si>
  <si>
    <t>09 1 00 00000</t>
  </si>
  <si>
    <t>Мероприятие "Ремонт квартир и домовладений ветеранов и инвалидов"</t>
  </si>
  <si>
    <t>Мероприятие "Разборка аварийных жилых домов"</t>
  </si>
  <si>
    <t>09 3 00 00000</t>
  </si>
  <si>
    <t>Мероприятие "Уличное освещение"</t>
  </si>
  <si>
    <t>Мероприятие "Прочие мероприятия по благоустройству городских округов и поселений"</t>
  </si>
  <si>
    <t>Мероприятие "Руководство и управление в сфере установленных функций органов местного самоуправления"</t>
  </si>
  <si>
    <t>01 2 00 00000</t>
  </si>
  <si>
    <t>Мероприятие "Приобретение вычислительной техники, комплектующих и прочего оборудования"</t>
  </si>
  <si>
    <t>Мероприятие "Приобретение лицензионного программного обеспечения"</t>
  </si>
  <si>
    <t>Мероприятие "Организация мониторинга политических, социально-экономических и иных процессов, оказывающих влияние на ситуацию в области профилактики терроризма"</t>
  </si>
  <si>
    <t>Мероприятие "Обеспечение доступа к сети интернет"</t>
  </si>
  <si>
    <t>04 0 00 00000</t>
  </si>
  <si>
    <t>02 0 00 00000</t>
  </si>
  <si>
    <t>08 0 00 00000</t>
  </si>
  <si>
    <t>08 3 00 00000</t>
  </si>
  <si>
    <t>000 1 11 07014 04 0000 120</t>
  </si>
  <si>
    <t>Мероприятие "Расходы на содержание МКУ "Владлес - Экология"</t>
  </si>
  <si>
    <t>Мероприятие "Содержание учреждений подведомственных УБиО, осуществляющих санитарную очистку г.Владикавказ"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</si>
  <si>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</si>
  <si>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08 2 00 00000</t>
  </si>
  <si>
    <t>Мероприятие "Проведение праздничных мероприятий"</t>
  </si>
  <si>
    <t>Мероприятие "Военно-мемориальная работа"</t>
  </si>
  <si>
    <t>08 3 03 00000</t>
  </si>
  <si>
    <t>08 3 0Р 22000</t>
  </si>
  <si>
    <t>08 3 02 00000</t>
  </si>
  <si>
    <t>Муниципальная программа "Благоустройство и озеленение г.Владикавказа" на 2019-2021 годы"</t>
  </si>
  <si>
    <t>Подпрограмма "Обеспечение деятельности аппарата Управления культуры АМС г.Владикавказа"</t>
  </si>
  <si>
    <t>Мероприятие "Финансирование деятельности аппарата Управления культуры АМС г.Владикавказа"</t>
  </si>
  <si>
    <t>08 4 00 00000</t>
  </si>
  <si>
    <t>08 1 00 00000</t>
  </si>
  <si>
    <t>10 0 00 00000</t>
  </si>
  <si>
    <t>Подпрограмма "Развитие системы общего и дополнительного образования"</t>
  </si>
  <si>
    <t>Мероприятие "Обеспечение деятельности (оказания услуг) муниципальных дошкольных образовательных учреждений"</t>
  </si>
  <si>
    <t>Мероприятие "Обеспечение деятельности (оказания услуг) муниципальных образовательных школ"</t>
  </si>
  <si>
    <t>07 1 0Р 21280</t>
  </si>
  <si>
    <t>Дополнительное образование детей</t>
  </si>
  <si>
    <t>Мероприятие "Обеспечение деятельности (оказания услуг) учреждений дополнительного образования"</t>
  </si>
  <si>
    <t>07 1 04 00000</t>
  </si>
  <si>
    <t>Мероприятие "Развитие материально технической базы муниципальных  образовательных  учреждений"</t>
  </si>
  <si>
    <t>07 1 05 00000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</si>
  <si>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</si>
  <si>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казеных)</t>
  </si>
  <si>
    <t>Наименование дохода</t>
  </si>
  <si>
    <t>Доходы от оказания платных услуг (работ)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</si>
  <si>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 (по составлению (изменению) списков кандидатов в присяжные заседатели)</t>
  </si>
  <si>
    <t>Мероприятие "Обеспечение безопасного пребывания детей в образовательных  учреждениях"</t>
  </si>
  <si>
    <t>Мероприятие "Проведение городских массовых мероприятий, в том числе направленных на поддержку детей с общеинтеллектуальной и творческой одаренностью"</t>
  </si>
  <si>
    <t>Подпрограмма "Социальная помощь населению: охрана семьи и детства"</t>
  </si>
  <si>
    <t>07 3 0Р 21650</t>
  </si>
  <si>
    <t>07 3 0Р 22270</t>
  </si>
  <si>
    <t>07 4 00 00110</t>
  </si>
  <si>
    <t>07 4 00 00190</t>
  </si>
  <si>
    <t>Мероприятие "Обеспечение деятельности культурно-досуговых учреждений муниципального образования г.Владикавказа"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</si>
  <si>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</si>
  <si>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</si>
  <si>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Муниципальная программа "Профилактика экстремизма и терроризма в городе Владикавказе на 2018-2020 годы"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</si>
  <si>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</si>
  <si>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
</t>
  </si>
  <si>
    <t>Управление образования АМС г.Владикавказа</t>
  </si>
  <si>
    <t>Закупка товаров, работ и услуг для государственных (муниципальных) нужд</t>
  </si>
  <si>
    <t>06</t>
  </si>
  <si>
    <t>Расходы на выплаты по оплате труда работников органов местного самоуправления</t>
  </si>
  <si>
    <t>Иные непрограммные расходы</t>
  </si>
  <si>
    <t>Обслуживание государственного (муниципального) долга</t>
  </si>
  <si>
    <t>700</t>
  </si>
  <si>
    <t>Обслуживание муниципального долга</t>
  </si>
  <si>
    <t>000 2 02 25027 04 0000 150</t>
  </si>
  <si>
    <t>Реализация мероприятий государственной программы Российской Федерации "Доступная среда" на 2011-2020 годы" за счет средств республиканского бюджета</t>
  </si>
  <si>
    <t>07 1 0Р L0270</t>
  </si>
  <si>
    <t>Иные межбюджетные трансферты</t>
  </si>
  <si>
    <t>10 0 0М L0270</t>
  </si>
  <si>
    <t>10 0 21 00228</t>
  </si>
  <si>
    <t>Мероприятие "Установка стел на Мемориале Славы в г.Владикавказе"</t>
  </si>
  <si>
    <t>000 2 02 40000 00 0000 150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</si>
  <si>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</si>
  <si>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000  2 02 45393 04 0000 150
</t>
  </si>
  <si>
    <t xml:space="preserve">04 </t>
  </si>
  <si>
    <t>Реализация мероприятий государственной программы Российской Федерации "Доступная среда" на 2011-2020 годы"</t>
  </si>
  <si>
    <t>Субсидии бюджетам городских округов на реализацию мероприятий государственной программы РФ "Доступная среда" на 2011-2020 годы"</t>
  </si>
  <si>
    <t>Мероприятия по обеспечению приватизации и проведению предпродажной подготовки объектов приватизации</t>
  </si>
  <si>
    <t>Расходы на обеспечение деятельности (оказания услуг) муниципальных образовательных учреждений дополнительного образования</t>
  </si>
  <si>
    <t>Глава муниципального образования</t>
  </si>
  <si>
    <t>10 0 20 00223</t>
  </si>
  <si>
    <t>ОХРАНА ОКРУЖАЮЩЕЙ СРЕДЫ</t>
  </si>
  <si>
    <t>Охрана объектов растительного и животного мира и среды их обитания</t>
  </si>
  <si>
    <t>Мероприятие "Строительство приюта для бездомных животных"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</si>
  <si>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</si>
  <si>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</si>
  <si>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 (исполнительно-распорядительного органа муниципального образования)</t>
  </si>
  <si>
    <t xml:space="preserve"> Премии и гранты
</t>
  </si>
  <si>
    <t>350</t>
  </si>
  <si>
    <t>Подпрограмма "Обеспечение создания условий для реализации муниципальной программы "Развитие образования г.Владикавказа на 2018-2021 годы"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</si>
  <si>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</si>
  <si>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долговым обязательствам</t>
  </si>
  <si>
    <t>Резервные фонды</t>
  </si>
  <si>
    <t>Другие общегосударственные вопросы</t>
  </si>
  <si>
    <t>Прочие выплаты по обязательствам государства</t>
  </si>
  <si>
    <t>НАЦИОНАЛЬНАЯ БЕЗОПАСНОСТЬ И ПРАВООХРАНИТЕЛЬНАЯ ДЕЯТЕЛЬНОСТЬ</t>
  </si>
  <si>
    <t>99 9 00 00100</t>
  </si>
  <si>
    <t>99 9 00 00101</t>
  </si>
  <si>
    <t>Занятость школьников в период летних каникул</t>
  </si>
  <si>
    <t>Расходы на выплаты персоналу Финансового управления АМС г.Владикавказ</t>
  </si>
  <si>
    <t>Расходы на обеспечение функций Финансового управления АМС г.Владикавказ</t>
  </si>
  <si>
    <t xml:space="preserve">Непрограммные расходы на обеспечение функционирования Финансового управления АМС  г.Владикавказ 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</si>
  <si>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</si>
  <si>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учреждения, а также имущества муниципальных унитарных предприятий, в том числе казённых), в части реализации основных средств по указанному имуществу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</si>
  <si>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</si>
  <si>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 ,а также дополнительного образования в общеобразовательных учреждениях</t>
  </si>
  <si>
    <t>99 9 00 00102</t>
  </si>
  <si>
    <t>99 9 00 00103</t>
  </si>
  <si>
    <t>03 4 00 00000</t>
  </si>
  <si>
    <t>03 1 00 00110</t>
  </si>
  <si>
    <t>03 1 00 00190</t>
  </si>
  <si>
    <t>Подпрограмма «Поддержка и развитие городского пассажирского транспорта»</t>
  </si>
  <si>
    <t xml:space="preserve">03 2 00 00000 </t>
  </si>
  <si>
    <t>Мероприятие "Возмещение убытков от финансово-хозяйственной деятельности предприятия, связанных с образовавшейся межтарифной разницей МУП "ВладТрамвай"</t>
  </si>
  <si>
    <t>03 2 0М L0270</t>
  </si>
  <si>
    <t>Подпрограмма «Автомобильные дороги и улично-дорожная сеть (строительство, реконструкция, ремонт и содержание автомобильных дорог) г.Владикавказа»</t>
  </si>
  <si>
    <t>03 3 00 00000</t>
  </si>
  <si>
    <t>Мероприятие "Содержание ВМКУ «Дорожный фонд»</t>
  </si>
  <si>
    <t>Мероприятие "Содержание ВМБУ «Владикавказские дороги»</t>
  </si>
  <si>
    <t>Мероприятие "Восстановительные работы из тротуарной плитки и декоративного камня, ремонт малых архитектурных форм"</t>
  </si>
  <si>
    <t>Мероприятие "Подготовка проектно-сметной документации и эскизов проектов"</t>
  </si>
  <si>
    <t>Мероприятие "Погашение кредиторской задолженности"</t>
  </si>
  <si>
    <t>Мероприятие "Учреждение конкурса главы АМС г.Владикавказа «Одаренные дети»"</t>
  </si>
  <si>
    <t>Мероприятие "Проведение международного фестиваля скрипичной музыки "Подарим миру музыку души"</t>
  </si>
  <si>
    <t>Мероприятие «Обеспечение деятельности и выполнения функций УБиО АМС г.Владикавказа»</t>
  </si>
  <si>
    <t>04 0 00 00110</t>
  </si>
  <si>
    <t>04 0 00 00190</t>
  </si>
  <si>
    <t>Мероприятие "Проведение экспертизы соответстия качества исползованных материалов необходимой при приеме выполненных работ (выборочно)"</t>
  </si>
  <si>
    <t>99 9 00 00134</t>
  </si>
  <si>
    <t>99 9 00 00135</t>
  </si>
  <si>
    <t>99 9 00 00137</t>
  </si>
  <si>
    <t>Муниципальная целевая программа "Социальная поддержка нуждающегося населения г.Владикавказа на 2019 год и на плановый период 2020 и 2021 г.г."</t>
  </si>
  <si>
    <t>Муниципальная программа «Развитие культуры г.Владикавказа на 2019 год и на плановый период 2020-2021 годы"</t>
  </si>
  <si>
    <t>Муниципальная программа "Городская инвестиционная программа г.Владикавказа на 2019 год и на плановый период 2020-2021 годы"</t>
  </si>
  <si>
    <t xml:space="preserve">Муниципальная программа "Городская инвестиционная программа г.Владикавказа на 2019 год и на плановый период 2020-2021 годы" </t>
  </si>
  <si>
    <t>Муниципальная программа "Информатизация АМС  г.Владикавказа на 2019 год и на плановый период 2020 и 2021 годов"</t>
  </si>
  <si>
    <t>99 9 00 00138</t>
  </si>
  <si>
    <t>Мероприятие по проведению работ по паспортизации бесхозяйных электросетей</t>
  </si>
  <si>
    <t>Мероприятие по разработке межевых планов территорий</t>
  </si>
  <si>
    <t>99 9 00 00140</t>
  </si>
  <si>
    <t>99 9 00 00141</t>
  </si>
  <si>
    <t>Мероприятие "Устройство, ремонт, покраска металлических ограждений"</t>
  </si>
  <si>
    <t>Мероприятие "Устройство остановочных сооружений"</t>
  </si>
  <si>
    <t>99 9 0Ф 51200</t>
  </si>
  <si>
    <t>Мероприятие "Реконструкция существующего здания художественной школы по пр.Коста, 181"</t>
  </si>
  <si>
    <t>Основное мероприятие "Организация и проведение мероприятий в области молодежной политики"</t>
  </si>
  <si>
    <t>Основное мероприятие "Организация и проведение физкультурных мероприятий и мероприятий, направленных на развитие массового спорта"</t>
  </si>
  <si>
    <t>Мероприятие "Приобретение сувенирной продукции"</t>
  </si>
  <si>
    <t>Приложение №6</t>
  </si>
  <si>
    <t>Ведомственная структура расходов бюджета муниципального образования г.Владикавказ на 2020 и 2021 годы</t>
  </si>
  <si>
    <t xml:space="preserve">СУММА                         </t>
  </si>
  <si>
    <t>2020 год</t>
  </si>
  <si>
    <t>2021 год</t>
  </si>
  <si>
    <t>Мероприятие "Внедрение и сопровождение информационных систем по предоставлению муниципальных услуг в электронном виде"</t>
  </si>
  <si>
    <t>01 1 01 00106</t>
  </si>
  <si>
    <t>Мероприятие "Сопровождение автоматизированной системы управления государственной и муниципальной собственностью (САУМИ)"</t>
  </si>
  <si>
    <t>01 2 03 00111</t>
  </si>
  <si>
    <t>Мероприятие "Приобретение антивирусного программного обеспечения"</t>
  </si>
  <si>
    <t>01 3 02 00119</t>
  </si>
  <si>
    <t>Мероприятие "Приобретение электронных подписей для работы в системе межведомственного электронного взаимодействия"</t>
  </si>
  <si>
    <t>01 3 03 00120</t>
  </si>
  <si>
    <t>Мероприятие "Организация защиты информационных систем персональных данных (ИСПДн)"</t>
  </si>
  <si>
    <t>Материальное стимулирование народных дружинников</t>
  </si>
  <si>
    <t>99 9 00 00124</t>
  </si>
  <si>
    <t>Мероприятие "Разработка проектно-сметной документации"</t>
  </si>
  <si>
    <t>03 3 06 00229</t>
  </si>
  <si>
    <t>13 0 0М L5550</t>
  </si>
  <si>
    <t>Мероприятие "Строительство дома культуры в пос.Южный"</t>
  </si>
  <si>
    <t>10 0 14 00174</t>
  </si>
  <si>
    <t>Мероприятие "Замена бойлеров в многоквартирных жилых домах"</t>
  </si>
  <si>
    <t>09 1 01 00196</t>
  </si>
  <si>
    <t>Мероприятие "Строительство сетей уличного освещения"</t>
  </si>
  <si>
    <t>09 3 01 00199</t>
  </si>
  <si>
    <t>Мероприятие "Аварийное обслуживание сетей ливневой канализации"</t>
  </si>
  <si>
    <t>09 7 07 00211</t>
  </si>
  <si>
    <t>Условно утвержденные расходы</t>
  </si>
  <si>
    <t>Приложение №8</t>
  </si>
  <si>
    <t xml:space="preserve"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                                                                                                                                                                                                                                                на 2020 и 2021 годы </t>
  </si>
  <si>
    <t>Муниципальная программа «Развитие культуры г.Владикавказа на 2019 год и на плановый период 2020-2021 годы"ды</t>
  </si>
  <si>
    <t>Заместитель главы администрации-</t>
  </si>
  <si>
    <t>начальник Финансового управления                 __________________   К.В. Цоков</t>
  </si>
  <si>
    <t>Приложение №10</t>
  </si>
  <si>
    <t>на 2020 и 2021 годы</t>
  </si>
  <si>
    <t>Заместитель главы администрации-
начальник Финансового управления __________________   К.В. Цоков</t>
  </si>
  <si>
    <t>Мероприятие "Чествование, поздравление работников культуры и творческих коллективов. "Ими гордится Владикавказ"-чествование почетных граждан, заслуженных людей г.Владикавказа"</t>
  </si>
  <si>
    <t>Мероприятие "Установка, реставрация и текущий ремонт памятников и объектов культуры, расположенных на территории г.Владикавказа"</t>
  </si>
  <si>
    <t xml:space="preserve">"О внесении изменений в решение </t>
  </si>
  <si>
    <t>Собрания представителей г.Владикавказ</t>
  </si>
  <si>
    <t xml:space="preserve">г.Владикавказ на 2019 год и на плановый период 2020 и 2021 годов" </t>
  </si>
  <si>
    <t>г.Владикавказ от " 27 " декабря 2018  года №49/60</t>
  </si>
  <si>
    <t>"О бюджете муниципального образования</t>
  </si>
  <si>
    <t>г.Владикавказ на 2019 год и плановый период 2020 и 2021 годов"</t>
  </si>
  <si>
    <t>к решению Собрания представителей</t>
  </si>
  <si>
    <t xml:space="preserve"> к решению Собрания представителей</t>
  </si>
  <si>
    <r>
      <t xml:space="preserve">от " </t>
    </r>
    <r>
      <rPr>
        <u/>
        <sz val="11"/>
        <rFont val="Times New Roman"/>
        <family val="1"/>
        <charset val="204"/>
      </rPr>
      <t>27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декабря</t>
    </r>
    <r>
      <rPr>
        <sz val="11"/>
        <rFont val="Times New Roman"/>
        <family val="1"/>
        <charset val="204"/>
      </rPr>
      <t xml:space="preserve"> 2018 года №49/60 "О бюджете муниципального образования</t>
    </r>
  </si>
  <si>
    <r>
      <t xml:space="preserve">г.Владикавказ от " </t>
    </r>
    <r>
      <rPr>
        <u/>
        <sz val="11"/>
        <rFont val="Times New Roman"/>
        <family val="1"/>
        <charset val="204"/>
      </rPr>
      <t>27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декабря</t>
    </r>
    <r>
      <rPr>
        <sz val="11"/>
        <rFont val="Times New Roman"/>
        <family val="1"/>
        <charset val="204"/>
      </rPr>
      <t xml:space="preserve"> 2018  года №</t>
    </r>
    <r>
      <rPr>
        <u/>
        <sz val="11"/>
        <rFont val="Times New Roman"/>
        <family val="1"/>
        <charset val="204"/>
      </rPr>
      <t>49/60</t>
    </r>
  </si>
  <si>
    <t>Мероприятие «Субсидии юридическим лицам (кроме некоммерческих организаций), индивидуальным предпринимателям, физическим лицам» (возмещение затрат, связанных с содержанием, эксплуатацией и ремонтом сетей уличного освещения)»</t>
  </si>
  <si>
    <t>Софинансирование на обеспечение мероприятий по переселению граждан из аварийного жилищного фонда</t>
  </si>
  <si>
    <t>10 0 0М S9602</t>
  </si>
  <si>
    <t>000 2 02 20299 04 0000 150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</si>
  <si>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</si>
  <si>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000 2 02 20302 04 0000 150</t>
  </si>
  <si>
    <t xml:space="preserve">СУММА                          </t>
  </si>
  <si>
    <t>Приложение №13</t>
  </si>
  <si>
    <t>Программа муниципальных внутренних заимствований</t>
  </si>
  <si>
    <t xml:space="preserve">муниципального образования г.Владикавказ </t>
  </si>
  <si>
    <t>№ п\п</t>
  </si>
  <si>
    <t>I</t>
  </si>
  <si>
    <t>Привлечение средств для финансирования дефицита бюджета и погашения долговых обязательств</t>
  </si>
  <si>
    <t>1.</t>
  </si>
  <si>
    <t>Привлечение кредитов кредитных организаций</t>
  </si>
  <si>
    <t>2.</t>
  </si>
  <si>
    <t>Привлечение бюджетных кредитов</t>
  </si>
  <si>
    <t>Итого</t>
  </si>
  <si>
    <t>II</t>
  </si>
  <si>
    <t>Направление расходования привлечённых средств</t>
  </si>
  <si>
    <t>Погашение бюджетных кредитов</t>
  </si>
  <si>
    <t>Погашение основного долга по кредитам коммерческих банков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</si>
  <si>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</si>
  <si>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10 0 0Ф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</si>
  <si>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строительстваза счет средств республиканского бюджета</t>
  </si>
  <si>
    <t>10 0 0P 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</si>
  <si>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</si>
  <si>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</si>
  <si>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,</t>
  </si>
  <si>
    <t>Заместитель главы администрации-                                                                                                                 начальник Финансового управления __________________   К.Цоков</t>
  </si>
  <si>
    <t>Заместитель главы администрации-                                                                                                                                   начальник Финансового управления __________________   К.Цоков</t>
  </si>
  <si>
    <t>000 2 02 49999 04 0066 150</t>
  </si>
  <si>
    <t>Прочие межбюджетные трансферты, передаваемые бюджетам городских округов (реализация мероприятий активной политики занятости)</t>
  </si>
  <si>
    <t>Общеэкономические вопросы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</si>
  <si>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</si>
  <si>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99 9 00 21670</t>
  </si>
  <si>
    <t>99 9 0Р 21670</t>
  </si>
  <si>
    <t>Заместитель главы администрации-
начальник Финансового управления  __________________   К.В. Цоков</t>
  </si>
  <si>
    <t>Подпрограмма "Гражданское и патриотическое воспитание граждан г.Владикавказа"</t>
  </si>
  <si>
    <t>Подпрограмма  «Обеспечение деятельности муниципальных учреждений культуры» г.Владикавказа»</t>
  </si>
  <si>
    <t>Мероприятие "Развитие системы художественно-эстетического образования в сфере культуры  муниципального образования г.Владикавказа"</t>
  </si>
  <si>
    <t>Мероприятие "Развитие библиотечного дела в  библиотеках муниципального образования г.Владикавказа"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</si>
  <si>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</si>
  <si>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</si>
  <si>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Осуществление полномочий Республики Северная Осетия-Алания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</si>
  <si>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</si>
  <si>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</si>
  <si>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</si>
  <si>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</si>
  <si>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</si>
  <si>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</si>
  <si>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 собственности городских округов</t>
  </si>
  <si>
    <t>Осуществление полномочий Республики Северная Осетия-Алания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</si>
  <si>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Лесное хозяйство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</si>
  <si>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</si>
  <si>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</si>
  <si>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</si>
  <si>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</si>
  <si>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Поддержка коммунального хозяйства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</si>
  <si>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</si>
  <si>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</si>
  <si>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</si>
  <si>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</si>
  <si>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</si>
  <si>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Молодёжная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</si>
  <si>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</si>
  <si>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</si>
  <si>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</si>
  <si>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</si>
  <si>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Пенсионное обеспечение</t>
  </si>
  <si>
    <t>Контрольно-счетная палата муниципального образования г.Владикавказ (Дзауджикау)</t>
  </si>
  <si>
    <t>647</t>
  </si>
  <si>
    <t>Приложение №3</t>
  </si>
  <si>
    <t xml:space="preserve">Расходы на выплаты по оплате труда работников органов местного самоуправления </t>
  </si>
  <si>
    <t>Непрограммные расходы на обеспечение функционирования Контрольно-счетной палаты  муниципального образования г.Владикавказ (Дзауджикау)</t>
  </si>
  <si>
    <t>Социальное обеспечение населения</t>
  </si>
  <si>
    <t>Охрана семьи и детства</t>
  </si>
  <si>
    <t>КУЛЬТУРА И КИНЕМАТОГРАФИЯ</t>
  </si>
  <si>
    <t>Дорожное хозяйство (дорожные фонды)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</si>
  <si>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</si>
  <si>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</si>
  <si>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</si>
  <si>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Ежемесячные доплата к государственной пенсии лицам замещавшим муниципальные должности и должности муниципальной службы</t>
  </si>
  <si>
    <t>Ведомство</t>
  </si>
  <si>
    <t>Вид расходов</t>
  </si>
  <si>
    <t>598</t>
  </si>
  <si>
    <t>Другие вопросы в области национальной экономики</t>
  </si>
  <si>
    <t>Муниципальная программа «Поддержка и развитие малого, среднего предпринимательства и инвестиционной деятельности в г.Владикавказе» на 2019- 2021 гг."</t>
  </si>
  <si>
    <t>СОЦИАЛЬНАЯ ПОЛИТИКА</t>
  </si>
  <si>
    <t>599</t>
  </si>
  <si>
    <t>600</t>
  </si>
  <si>
    <t>603</t>
  </si>
  <si>
    <t>Руководство и управление в сфере установленных функций органов государственной власти субъектов Российской и органов местного самоуправления</t>
  </si>
  <si>
    <t>Управление по строительству администрации местного самоуправления г.Владикавказ</t>
  </si>
  <si>
    <t>606</t>
  </si>
  <si>
    <t xml:space="preserve">Управление культуры  администрации местного самоуправления г.Владикавказа </t>
  </si>
  <si>
    <t>730</t>
  </si>
  <si>
    <t>Распределение бюджетных ассигнований по целевым статьям (муниципальным и ведомственным целевым программам и непрограммным направлениям деятельности), разделам, подразделам, группам и подгруппам видов расходов классификации расходов бюджета муниципального образования г.Владикавказ</t>
  </si>
  <si>
    <t>Обеспечение функционирования Собрания представителей г.Владикавказ</t>
  </si>
  <si>
    <t>Обеспечение функционирования Главы местной администрации (исполнительно-распорядительного органа муниципального образования)</t>
  </si>
  <si>
    <t xml:space="preserve">Обеспечение функционирования органов местного самоуправления </t>
  </si>
  <si>
    <t>Обеспечение функционирования Контрольно-счетной палаты  муниципального образования г.Владикавказ (Дзауджикау)</t>
  </si>
  <si>
    <t>Расходы на выплаты по оплате труда работников Контрольно-счетной палаты муниципального образования г.Владикавказ (Дзауджикау)</t>
  </si>
  <si>
    <t>Непрограммные расходы органов местного самоуправления г.Владикавказ</t>
  </si>
  <si>
    <t xml:space="preserve">Занятость школьников в период летних каникул </t>
  </si>
  <si>
    <t>Мероприятие "Приобретение автоматизированной системы управления уличным освещением и светильников с энергосберегающими лампами"</t>
  </si>
  <si>
    <t>Мероприятие "Ремонт муниципальных квартир, объектов"</t>
  </si>
  <si>
    <t>Подпрограмма "Обеспечение безопасности и надежности систем инженерно-технического обеспечения г.Владикавказа"</t>
  </si>
  <si>
    <t>Мероприятие "Обеспечение безопасности и надежности систем инженерно-технического обеспечения г.Владикавказа"</t>
  </si>
  <si>
    <t>Комитет жилищно-коммунального хозяйства и энергетики администрации местного самоуправления города Владикавказа</t>
  </si>
  <si>
    <t>609</t>
  </si>
  <si>
    <t>Финансовое управление администрации местного самоуправления г.Владикавказа</t>
  </si>
  <si>
    <t>610</t>
  </si>
  <si>
    <t>611</t>
  </si>
  <si>
    <t>Другие общегосударственные  вопросы</t>
  </si>
  <si>
    <t>Обслуживание государственного внутреннего и муниципального долга</t>
  </si>
  <si>
    <t>Кредиты кредитных организаций в валюте Российской Федерации</t>
  </si>
  <si>
    <t>810</t>
  </si>
  <si>
    <t>Расходы на обеспечение деятельности (оказания услуг) культурно-досуговых учреждений</t>
  </si>
  <si>
    <t>05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</si>
  <si>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</si>
  <si>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</si>
  <si>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</si>
  <si>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</si>
  <si>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870</t>
  </si>
  <si>
    <t>на 2019 год</t>
  </si>
  <si>
    <t>Предусмотрено по бюджету на 2019 год</t>
  </si>
  <si>
    <t>Целевая      статья     расходов</t>
  </si>
  <si>
    <t>ВСЕГО</t>
  </si>
  <si>
    <t>Приложение №12</t>
  </si>
  <si>
    <t xml:space="preserve">СУММА </t>
  </si>
  <si>
    <r>
      <t xml:space="preserve">от " </t>
    </r>
    <r>
      <rPr>
        <u/>
        <sz val="12"/>
        <rFont val="Times New Roman"/>
        <family val="1"/>
        <charset val="204"/>
      </rPr>
      <t>27</t>
    </r>
    <r>
      <rPr>
        <sz val="12"/>
        <rFont val="Times New Roman"/>
        <family val="1"/>
        <charset val="204"/>
      </rPr>
      <t xml:space="preserve"> " </t>
    </r>
    <r>
      <rPr>
        <u/>
        <sz val="12"/>
        <rFont val="Times New Roman"/>
        <family val="1"/>
        <charset val="204"/>
      </rPr>
      <t>декабря</t>
    </r>
    <r>
      <rPr>
        <sz val="12"/>
        <rFont val="Times New Roman"/>
        <family val="1"/>
        <charset val="204"/>
      </rPr>
      <t xml:space="preserve"> 2018 года №49/60 "О бюджете муниципального образования</t>
    </r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</si>
  <si>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</si>
  <si>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000 01 00 00 00 00 0000 000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</si>
  <si>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</si>
  <si>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</si>
  <si>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</si>
  <si>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</si>
  <si>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</si>
  <si>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</si>
  <si>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000 01 05 00 00 00 0000 000</t>
  </si>
  <si>
    <t>Изменение остатков средств на счетах по учёту средств бюджета</t>
  </si>
  <si>
    <t>Подпрограмма «Обеспечение деятельности и выполнения функций Комитета ЖКХЭ»</t>
  </si>
  <si>
    <t>Приложение №2</t>
  </si>
  <si>
    <t>Расходы на обеспечение проведения выборов и референдумов</t>
  </si>
  <si>
    <t>Софинансирование обеспечения мероприятий по капитальному ремонту многоквартирных домов за счет средств местного бюджета</t>
  </si>
  <si>
    <t xml:space="preserve">609 </t>
  </si>
  <si>
    <t>Мероприятие "Издание и приобретение книг и иной печатной продукции, визуальной аудио продукции о г.Владикавказе"</t>
  </si>
  <si>
    <t>Судебная система</t>
  </si>
  <si>
    <t>Подпрограмма "Обеспечение создания условий для реализации муниципальной программы "Развитие образования г.Владикавказа на 2017-2020 годы"</t>
  </si>
  <si>
    <t>Непрограммные расходы органов местного самоуправления</t>
  </si>
  <si>
    <t>Подпрограмма «Содержание подведомственных учреждений УТДС АМС г. Владикавказа»</t>
  </si>
  <si>
    <t>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</si>
  <si>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>000 2 02 15000 00 0000 150</t>
  </si>
  <si>
    <t>000 2 02 15001 04 0001 150</t>
  </si>
  <si>
    <t>000 2 02 15001 04 0002 150</t>
  </si>
  <si>
    <t>000 2 02 20000 00 0000 150</t>
  </si>
  <si>
    <t>000 2 02 20216 04 0060 150</t>
  </si>
  <si>
    <t>000 2 02 25555 04 0000 150</t>
  </si>
  <si>
    <t>000 2 02 30000 00 0000 150</t>
  </si>
  <si>
    <t>000 2 02 30024 04 0000 150</t>
  </si>
  <si>
    <t xml:space="preserve">000 2 02 30024 04 0062 150          </t>
  </si>
  <si>
    <t xml:space="preserve">000 2 02 30024 04 0063 150          </t>
  </si>
  <si>
    <t>000 2 02 30024 04 0065 150</t>
  </si>
  <si>
    <t xml:space="preserve">000 2 02 30024 04 0067 150                 </t>
  </si>
  <si>
    <t xml:space="preserve">000 2 02 30024 04 0075 150 </t>
  </si>
  <si>
    <t>000 2 02 30029 04 0064 150</t>
  </si>
  <si>
    <t>000 2 02 35120 04 0000 150</t>
  </si>
  <si>
    <t>01 4 00 00000</t>
  </si>
  <si>
    <t>Подпрограмма "Цифровизация городского хозяйства в рамках реализации пилотного проекта "Умный город""</t>
  </si>
  <si>
    <t>Мероприятие "Внедрение электронной модели территориальной схемы обращения с твердыми коммунальными отходами"</t>
  </si>
  <si>
    <t>01 4 01 00224</t>
  </si>
  <si>
    <t>Мероприятие "Создание системы видеонаблюдения в подведомственных образовательных учреждениях АМС г.Владикавказа"</t>
  </si>
  <si>
    <t>01 4 02 00225</t>
  </si>
  <si>
    <t>Мероприятие "Организация системы видеонаблюдения на территории муниципального образования г.Владикавказа"</t>
  </si>
  <si>
    <t>01 4 03 00226</t>
  </si>
  <si>
    <t>Мероприятие "Совершенствование мероприятий, направленных на повышение квалификации педагогических работников, развитие системы конкурсов профессионального мастерства и стимулирование труда работников образовательных организаций г.Владикавказа"</t>
  </si>
  <si>
    <t>Обеспечение жильем молодых семей за счет средств местного бюджета</t>
  </si>
  <si>
    <t>Подпрограмма «Образование г.Владикавказа-образование будущего»</t>
  </si>
  <si>
    <t>Код бюджетной классификации Российской Федерации</t>
  </si>
  <si>
    <t>Источники финансирования дефицита</t>
  </si>
  <si>
    <t>тыс. рублей</t>
  </si>
  <si>
    <t>630</t>
  </si>
  <si>
    <t>Собрание представителей г. Владикавказ</t>
  </si>
  <si>
    <t>643</t>
  </si>
  <si>
    <t>Функционирование высшего должностного лица субъекта Российской Федерации и муниципального образования</t>
  </si>
  <si>
    <t>Администрация местного самоуправления г.Владикавказа</t>
  </si>
  <si>
    <t>Другие вопросы в области культуры, кинематографии</t>
  </si>
  <si>
    <t>ДОХОДЫ</t>
  </si>
  <si>
    <t>бюджета муниципального образования г.Владикавказ</t>
  </si>
  <si>
    <t>тыс.рублей</t>
  </si>
  <si>
    <t>Код бюджетной  классификации РФ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</si>
  <si>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</si>
  <si>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</si>
  <si>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</si>
  <si>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</si>
  <si>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</si>
  <si>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</si>
  <si>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</si>
  <si>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</si>
  <si>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000 1 05 01000 00 0000 110</t>
  </si>
  <si>
    <t>Расходы на содержание МКУ "Правовое обеспечение"</t>
  </si>
  <si>
    <t>99 9 00 00222</t>
  </si>
  <si>
    <t>Налог, взимаемый в связи с применением упрощенной системы налогообложения</t>
  </si>
  <si>
    <t>000 1 05 02000 02 0000 110</t>
  </si>
  <si>
    <t>03</t>
  </si>
  <si>
    <t>09</t>
  </si>
  <si>
    <t>Расходы на обеспечение деятельности (оказания услуг) муниципальных учреждений</t>
  </si>
  <si>
    <t>Расходы на выплаты персоналу казенных учреждений</t>
  </si>
  <si>
    <t>110</t>
  </si>
  <si>
    <t>08</t>
  </si>
  <si>
    <t>12</t>
  </si>
  <si>
    <t>07</t>
  </si>
  <si>
    <t>02</t>
  </si>
  <si>
    <t>Акцизы на автомобильный и прямогонный бензин, дизельное топливо и моторные масла</t>
  </si>
  <si>
    <t xml:space="preserve"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                                                                                                                                                                                                                                                на 2019 год </t>
  </si>
  <si>
    <t xml:space="preserve"> на 2019 год</t>
  </si>
  <si>
    <t>Мероприятие "Ремонт автомобильных дорог"</t>
  </si>
  <si>
    <t>03 3 05 00227</t>
  </si>
  <si>
    <t>Муниципальная программа «Развитие образования г.Владикавказа 
на период 2018-2021 годы"</t>
  </si>
  <si>
    <t>07 1 01 00212</t>
  </si>
  <si>
    <t>07 1 02 00213</t>
  </si>
  <si>
    <t>07 3 03 00000</t>
  </si>
  <si>
    <t>07 3 03 00221</t>
  </si>
  <si>
    <t>07 1 03 00214</t>
  </si>
  <si>
    <t>07 1 04 00215</t>
  </si>
  <si>
    <t>07 1 05 00216</t>
  </si>
  <si>
    <t>07 2 01 00217</t>
  </si>
  <si>
    <t>07 2 02 00218</t>
  </si>
  <si>
    <t>07 2 03 00219</t>
  </si>
  <si>
    <t>07 3 02 00220</t>
  </si>
  <si>
    <t>10 0 15 00175</t>
  </si>
  <si>
    <t>Мероприятие "Ремонт общежития по ул.Бзарова в г.Владикавказе"</t>
  </si>
  <si>
    <t>10 0 16 00176</t>
  </si>
  <si>
    <t>10 0 03 00164</t>
  </si>
  <si>
    <t>10 0 08 00147</t>
  </si>
  <si>
    <t>Мероприятие "Обеспечение условий доступности для инвалидов жилых помещений и общего имущества в многоквартирных домах г.Владикавказ"</t>
  </si>
  <si>
    <t>10 0 02 00163</t>
  </si>
  <si>
    <t>Мероприятие "Ремонт освещения поселка Спутник"</t>
  </si>
  <si>
    <t>10 0 05 00166</t>
  </si>
  <si>
    <t>Мероприятие "Обследование и подготовка технических заключений для ветхих и аварийных домов, заключение договоров мены у нотариуса, изготовление технических паспортов, разработка проектов"</t>
  </si>
  <si>
    <r>
      <t>г.Владикавказ от "</t>
    </r>
    <r>
      <rPr>
        <u/>
        <sz val="11"/>
        <rFont val="Times New Roman"/>
        <family val="1"/>
        <charset val="204"/>
      </rPr>
      <t>27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сентября</t>
    </r>
    <r>
      <rPr>
        <sz val="11"/>
        <rFont val="Times New Roman"/>
        <family val="1"/>
        <charset val="204"/>
      </rPr>
      <t xml:space="preserve"> 2019 года № </t>
    </r>
    <r>
      <rPr>
        <u/>
        <sz val="11"/>
        <rFont val="Times New Roman"/>
        <family val="1"/>
        <charset val="204"/>
      </rPr>
      <t>2/30</t>
    </r>
  </si>
  <si>
    <r>
      <t>г.Владикавказ от "</t>
    </r>
    <r>
      <rPr>
        <u/>
        <sz val="11"/>
        <rFont val="Times New Roman"/>
        <family val="1"/>
        <charset val="204"/>
      </rPr>
      <t xml:space="preserve"> 27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сентября</t>
    </r>
    <r>
      <rPr>
        <sz val="11"/>
        <rFont val="Times New Roman"/>
        <family val="1"/>
        <charset val="204"/>
      </rPr>
      <t xml:space="preserve"> </t>
    </r>
    <r>
      <rPr>
        <u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года №</t>
    </r>
    <r>
      <rPr>
        <u/>
        <sz val="11"/>
        <rFont val="Times New Roman"/>
        <family val="1"/>
        <charset val="204"/>
      </rPr>
      <t>2/30</t>
    </r>
  </si>
  <si>
    <r>
      <t>г.Владикавказ от "</t>
    </r>
    <r>
      <rPr>
        <u/>
        <sz val="11"/>
        <rFont val="Times New Roman"/>
        <family val="1"/>
        <charset val="204"/>
      </rPr>
      <t xml:space="preserve"> 27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сентября</t>
    </r>
    <r>
      <rPr>
        <sz val="11"/>
        <rFont val="Times New Roman"/>
        <family val="1"/>
        <charset val="204"/>
      </rPr>
      <t xml:space="preserve"> 2019 года №</t>
    </r>
    <r>
      <rPr>
        <u/>
        <sz val="11"/>
        <rFont val="Times New Roman"/>
        <family val="1"/>
        <charset val="204"/>
      </rPr>
      <t>2/30</t>
    </r>
  </si>
  <si>
    <r>
      <t>г.Владикавказ от "</t>
    </r>
    <r>
      <rPr>
        <u/>
        <sz val="11"/>
        <rFont val="Times New Roman"/>
        <family val="1"/>
        <charset val="204"/>
      </rPr>
      <t>27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сентября</t>
    </r>
    <r>
      <rPr>
        <sz val="11"/>
        <rFont val="Times New Roman"/>
        <family val="1"/>
        <charset val="204"/>
      </rPr>
      <t xml:space="preserve"> 2019 года №</t>
    </r>
    <r>
      <rPr>
        <u/>
        <sz val="11"/>
        <rFont val="Times New Roman"/>
        <family val="1"/>
        <charset val="204"/>
      </rPr>
      <t xml:space="preserve"> 2/30</t>
    </r>
  </si>
  <si>
    <r>
      <t xml:space="preserve">г.Владикавказ от " </t>
    </r>
    <r>
      <rPr>
        <u/>
        <sz val="11"/>
        <rFont val="Times New Roman"/>
        <family val="1"/>
        <charset val="204"/>
      </rPr>
      <t>27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>сентября</t>
    </r>
    <r>
      <rPr>
        <sz val="11"/>
        <rFont val="Times New Roman"/>
        <family val="1"/>
        <charset val="204"/>
      </rPr>
      <t xml:space="preserve"> 2019 года № </t>
    </r>
    <r>
      <rPr>
        <u/>
        <sz val="11"/>
        <rFont val="Times New Roman"/>
        <family val="1"/>
        <charset val="204"/>
      </rPr>
      <t>2/30</t>
    </r>
  </si>
  <si>
    <r>
      <t xml:space="preserve">г.Владикавказ от " </t>
    </r>
    <r>
      <rPr>
        <u/>
        <sz val="11"/>
        <rFont val="Times New Roman"/>
        <family val="1"/>
        <charset val="204"/>
      </rPr>
      <t>27</t>
    </r>
    <r>
      <rPr>
        <sz val="11"/>
        <rFont val="Times New Roman"/>
        <family val="1"/>
        <charset val="204"/>
      </rPr>
      <t xml:space="preserve"> " </t>
    </r>
    <r>
      <rPr>
        <u/>
        <sz val="11"/>
        <rFont val="Times New Roman"/>
        <family val="1"/>
        <charset val="204"/>
      </rPr>
      <t xml:space="preserve">сентября </t>
    </r>
    <r>
      <rPr>
        <sz val="11"/>
        <rFont val="Times New Roman"/>
        <family val="1"/>
        <charset val="204"/>
      </rPr>
      <t>2019 года №</t>
    </r>
    <r>
      <rPr>
        <u/>
        <sz val="11"/>
        <rFont val="Times New Roman"/>
        <family val="1"/>
        <charset val="204"/>
      </rPr>
      <t xml:space="preserve"> 2/30</t>
    </r>
  </si>
  <si>
    <r>
      <t xml:space="preserve">г.Владикавказ от " </t>
    </r>
    <r>
      <rPr>
        <u/>
        <sz val="12"/>
        <rFont val="Times New Roman"/>
        <family val="1"/>
        <charset val="204"/>
      </rPr>
      <t>27</t>
    </r>
    <r>
      <rPr>
        <sz val="12"/>
        <rFont val="Times New Roman"/>
        <family val="1"/>
        <charset val="204"/>
      </rPr>
      <t xml:space="preserve"> " </t>
    </r>
    <r>
      <rPr>
        <u/>
        <sz val="12"/>
        <rFont val="Times New Roman"/>
        <family val="1"/>
        <charset val="204"/>
      </rPr>
      <t>сентября</t>
    </r>
    <r>
      <rPr>
        <sz val="12"/>
        <rFont val="Times New Roman"/>
        <family val="1"/>
        <charset val="204"/>
      </rPr>
      <t xml:space="preserve">2019 года № </t>
    </r>
    <r>
      <rPr>
        <u/>
        <sz val="12"/>
        <rFont val="Times New Roman"/>
        <family val="1"/>
        <charset val="204"/>
      </rPr>
      <t>2/30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</si>
</sst>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_-* #,##0.0_р_._-;\-* #,##0.0_р_._-;_-* &quot;-&quot;?_р_._-;_-@_-"/>
    <numFmt numFmtId="169" formatCode="_-* #,##0.0\ _₽_-;\-* #,##0.0\ _₽_-;_-* &quot;-&quot;?\ _₽_-;_-@_-"/>
  </numFmts>
  <fonts count="4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Arial Cyr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Arial Cyr"/>
      <family val="2"/>
    </font>
    <font>
      <u/>
      <sz val="11"/>
      <name val="Times New Roman"/>
      <family val="1"/>
      <charset val="204"/>
    </font>
    <font>
      <sz val="12"/>
      <name val="Arial Cyr"/>
      <charset val="204"/>
    </font>
    <font>
      <u/>
      <sz val="12"/>
      <name val="Times New Roman"/>
      <family val="1"/>
      <charset val="204"/>
    </font>
    <font>
      <sz val="8"/>
      <color rgb="FF000000"/>
      <name val="Arial Cyr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4">
    <xf numFmtId="0" fontId="0" fillId="0" borderId="0"/>
    <xf numFmtId="0" fontId="33" fillId="2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3" borderId="0" applyNumberFormat="0" applyBorder="0" applyAlignment="0" applyProtection="0"/>
    <xf numFmtId="0" fontId="33" fillId="6" borderId="0" applyNumberFormat="0" applyBorder="0" applyAlignment="0" applyProtection="0"/>
    <xf numFmtId="0" fontId="33" fillId="8" borderId="0" applyNumberFormat="0" applyBorder="0" applyAlignment="0" applyProtection="0"/>
    <xf numFmtId="0" fontId="33" fillId="4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8" borderId="0" applyNumberFormat="0" applyBorder="0" applyAlignment="0" applyProtection="0"/>
    <xf numFmtId="0" fontId="33" fillId="10" borderId="0" applyNumberFormat="0" applyBorder="0" applyAlignment="0" applyProtection="0"/>
    <xf numFmtId="0" fontId="34" fillId="8" borderId="0" applyNumberFormat="0" applyBorder="0" applyAlignment="0" applyProtection="0"/>
    <xf numFmtId="0" fontId="34" fillId="4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0" borderId="1">
      <alignment horizontal="left" wrapText="1" indent="2"/>
    </xf>
    <xf numFmtId="49" fontId="39" fillId="0" borderId="7">
      <alignment horizontal="center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6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2" xfId="0" applyFont="1" applyBorder="1" applyAlignment="1">
      <alignment vertical="top" wrapText="1"/>
    </xf>
    <xf numFmtId="0" fontId="13" fillId="0" borderId="0" xfId="0" applyFont="1"/>
    <xf numFmtId="0" fontId="15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66" fontId="1" fillId="0" borderId="0" xfId="23" applyNumberFormat="1"/>
    <xf numFmtId="0" fontId="5" fillId="13" borderId="2" xfId="0" applyFont="1" applyFill="1" applyBorder="1" applyAlignment="1">
      <alignment vertical="center" wrapText="1"/>
    </xf>
    <xf numFmtId="49" fontId="5" fillId="1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166" fontId="4" fillId="0" borderId="0" xfId="23" applyNumberFormat="1" applyFont="1"/>
    <xf numFmtId="49" fontId="6" fillId="13" borderId="2" xfId="0" applyNumberFormat="1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vertical="top" wrapText="1"/>
    </xf>
    <xf numFmtId="0" fontId="9" fillId="0" borderId="2" xfId="0" applyFont="1" applyBorder="1" applyAlignment="1">
      <alignment horizontal="justify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0" fillId="0" borderId="0" xfId="0" applyFill="1"/>
    <xf numFmtId="49" fontId="1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168" fontId="16" fillId="0" borderId="2" xfId="23" applyNumberFormat="1" applyFont="1" applyFill="1" applyBorder="1" applyAlignment="1">
      <alignment horizontal="right" vertical="center" wrapText="1"/>
    </xf>
    <xf numFmtId="49" fontId="16" fillId="14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top" wrapText="1"/>
    </xf>
    <xf numFmtId="0" fontId="21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167" fontId="10" fillId="0" borderId="2" xfId="23" applyNumberFormat="1" applyFont="1" applyFill="1" applyBorder="1" applyAlignment="1">
      <alignment horizontal="right" vertical="center" wrapText="1"/>
    </xf>
    <xf numFmtId="167" fontId="16" fillId="0" borderId="2" xfId="23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167" fontId="17" fillId="0" borderId="2" xfId="23" applyNumberFormat="1" applyFont="1" applyFill="1" applyBorder="1" applyAlignment="1">
      <alignment horizontal="righ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" fillId="0" borderId="0" xfId="0" applyFont="1" applyFill="1"/>
    <xf numFmtId="0" fontId="14" fillId="0" borderId="0" xfId="0" applyFont="1" applyFill="1"/>
    <xf numFmtId="0" fontId="15" fillId="0" borderId="0" xfId="0" applyFont="1" applyFill="1"/>
    <xf numFmtId="49" fontId="10" fillId="0" borderId="2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7" fontId="20" fillId="0" borderId="2" xfId="23" applyNumberFormat="1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6" fillId="0" borderId="2" xfId="0" applyNumberFormat="1" applyFont="1" applyFill="1" applyBorder="1" applyAlignment="1">
      <alignment vertical="top" wrapText="1"/>
    </xf>
    <xf numFmtId="0" fontId="17" fillId="0" borderId="2" xfId="0" applyNumberFormat="1" applyFont="1" applyFill="1" applyBorder="1" applyAlignment="1">
      <alignment vertical="top" wrapText="1"/>
    </xf>
    <xf numFmtId="0" fontId="23" fillId="0" borderId="2" xfId="0" applyNumberFormat="1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vertical="top" wrapText="1"/>
    </xf>
    <xf numFmtId="0" fontId="18" fillId="0" borderId="2" xfId="0" applyNumberFormat="1" applyFont="1" applyFill="1" applyBorder="1" applyAlignment="1">
      <alignment vertical="top" wrapText="1"/>
    </xf>
    <xf numFmtId="166" fontId="16" fillId="0" borderId="2" xfId="0" applyNumberFormat="1" applyFont="1" applyFill="1" applyBorder="1" applyAlignment="1">
      <alignment vertical="top" wrapText="1"/>
    </xf>
    <xf numFmtId="0" fontId="1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0" fontId="16" fillId="0" borderId="2" xfId="0" applyFont="1" applyBorder="1" applyAlignment="1">
      <alignment horizontal="center" vertical="center" wrapText="1"/>
    </xf>
    <xf numFmtId="49" fontId="6" fillId="15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 wrapText="1"/>
    </xf>
    <xf numFmtId="166" fontId="23" fillId="0" borderId="2" xfId="0" applyNumberFormat="1" applyFont="1" applyFill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wrapText="1"/>
    </xf>
    <xf numFmtId="0" fontId="6" fillId="15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vertical="top" wrapText="1"/>
    </xf>
    <xf numFmtId="49" fontId="16" fillId="0" borderId="2" xfId="0" applyNumberFormat="1" applyFont="1" applyFill="1" applyBorder="1" applyAlignment="1">
      <alignment vertical="top" wrapText="1"/>
    </xf>
    <xf numFmtId="49" fontId="24" fillId="0" borderId="2" xfId="0" applyNumberFormat="1" applyFont="1" applyFill="1" applyBorder="1" applyAlignment="1">
      <alignment vertical="top" wrapText="1"/>
    </xf>
    <xf numFmtId="49" fontId="23" fillId="0" borderId="2" xfId="0" applyNumberFormat="1" applyFont="1" applyFill="1" applyBorder="1" applyAlignment="1">
      <alignment vertical="top" wrapText="1"/>
    </xf>
    <xf numFmtId="49" fontId="17" fillId="0" borderId="2" xfId="0" applyNumberFormat="1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vertical="top" wrapText="1"/>
    </xf>
    <xf numFmtId="49" fontId="18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vertical="top" wrapText="1"/>
    </xf>
    <xf numFmtId="166" fontId="16" fillId="0" borderId="2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top" wrapText="1"/>
    </xf>
    <xf numFmtId="167" fontId="6" fillId="0" borderId="2" xfId="23" applyNumberFormat="1" applyFont="1" applyFill="1" applyBorder="1" applyAlignment="1">
      <alignment horizontal="right" vertical="center" wrapText="1"/>
    </xf>
    <xf numFmtId="167" fontId="5" fillId="13" borderId="2" xfId="23" applyNumberFormat="1" applyFont="1" applyFill="1" applyBorder="1" applyAlignment="1">
      <alignment horizontal="right" vertical="center" wrapText="1"/>
    </xf>
    <xf numFmtId="167" fontId="18" fillId="0" borderId="2" xfId="23" applyNumberFormat="1" applyFont="1" applyFill="1" applyBorder="1" applyAlignment="1">
      <alignment horizontal="right" vertical="center" wrapText="1"/>
    </xf>
    <xf numFmtId="167" fontId="11" fillId="0" borderId="2" xfId="23" applyNumberFormat="1" applyFont="1" applyFill="1" applyBorder="1" applyAlignment="1">
      <alignment horizontal="right" vertical="center" wrapText="1"/>
    </xf>
    <xf numFmtId="167" fontId="10" fillId="0" borderId="2" xfId="23" applyNumberFormat="1" applyFont="1" applyFill="1" applyBorder="1" applyAlignment="1">
      <alignment horizontal="righ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vertical="top" wrapText="1"/>
    </xf>
    <xf numFmtId="2" fontId="16" fillId="0" borderId="2" xfId="0" applyNumberFormat="1" applyFont="1" applyFill="1" applyBorder="1" applyAlignment="1">
      <alignment horizontal="center" vertical="center" wrapText="1"/>
    </xf>
    <xf numFmtId="167" fontId="16" fillId="16" borderId="2" xfId="23" applyNumberFormat="1" applyFont="1" applyFill="1" applyBorder="1" applyAlignment="1">
      <alignment horizontal="right" vertical="center" wrapText="1"/>
    </xf>
    <xf numFmtId="0" fontId="6" fillId="16" borderId="2" xfId="0" applyNumberFormat="1" applyFont="1" applyFill="1" applyBorder="1" applyAlignment="1">
      <alignment vertical="top" wrapText="1"/>
    </xf>
    <xf numFmtId="49" fontId="16" fillId="16" borderId="2" xfId="0" applyNumberFormat="1" applyFont="1" applyFill="1" applyBorder="1" applyAlignment="1">
      <alignment horizontal="center" vertical="center" wrapText="1"/>
    </xf>
    <xf numFmtId="167" fontId="6" fillId="15" borderId="2" xfId="23" applyNumberFormat="1" applyFont="1" applyFill="1" applyBorder="1" applyAlignment="1">
      <alignment horizontal="right" vertical="center" wrapText="1"/>
    </xf>
    <xf numFmtId="167" fontId="16" fillId="14" borderId="2" xfId="23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6" fontId="9" fillId="0" borderId="0" xfId="23" applyNumberFormat="1" applyFont="1" applyFill="1" applyBorder="1" applyAlignment="1">
      <alignment horizontal="center" vertical="center"/>
    </xf>
    <xf numFmtId="168" fontId="20" fillId="0" borderId="2" xfId="23" applyNumberFormat="1" applyFont="1" applyFill="1" applyBorder="1" applyAlignment="1">
      <alignment horizontal="right" vertical="center" wrapText="1"/>
    </xf>
    <xf numFmtId="168" fontId="10" fillId="0" borderId="2" xfId="23" applyNumberFormat="1" applyFont="1" applyFill="1" applyBorder="1" applyAlignment="1">
      <alignment horizontal="right" vertical="center" wrapText="1"/>
    </xf>
    <xf numFmtId="166" fontId="16" fillId="0" borderId="2" xfId="23" applyNumberFormat="1" applyFont="1" applyFill="1" applyBorder="1" applyAlignment="1">
      <alignment horizontal="right" vertical="center" wrapText="1"/>
    </xf>
    <xf numFmtId="166" fontId="10" fillId="0" borderId="2" xfId="23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Border="1" applyAlignment="1">
      <alignment horizontal="center" vertical="center" wrapText="1"/>
    </xf>
    <xf numFmtId="166" fontId="20" fillId="0" borderId="2" xfId="23" applyNumberFormat="1" applyFont="1" applyFill="1" applyBorder="1" applyAlignment="1">
      <alignment horizontal="right" vertical="center" wrapText="1"/>
    </xf>
    <xf numFmtId="166" fontId="17" fillId="0" borderId="2" xfId="23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17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6" fillId="0" borderId="2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167" fontId="10" fillId="0" borderId="0" xfId="23" applyNumberFormat="1" applyFont="1" applyFill="1" applyBorder="1" applyAlignment="1">
      <alignment horizontal="right" vertical="center" wrapText="1"/>
    </xf>
    <xf numFmtId="166" fontId="9" fillId="0" borderId="2" xfId="23" applyNumberFormat="1" applyFont="1" applyBorder="1" applyAlignment="1">
      <alignment horizontal="right" vertical="center" wrapText="1"/>
    </xf>
    <xf numFmtId="166" fontId="5" fillId="0" borderId="2" xfId="23" applyNumberFormat="1" applyFont="1" applyBorder="1" applyAlignment="1">
      <alignment horizontal="right" vertical="center" wrapText="1"/>
    </xf>
    <xf numFmtId="166" fontId="5" fillId="13" borderId="2" xfId="23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top" wrapText="1"/>
    </xf>
    <xf numFmtId="166" fontId="5" fillId="0" borderId="2" xfId="23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/>
    </xf>
    <xf numFmtId="166" fontId="9" fillId="0" borderId="2" xfId="23" applyNumberFormat="1" applyFont="1" applyFill="1" applyBorder="1" applyAlignment="1">
      <alignment horizontal="right" vertical="center" wrapText="1"/>
    </xf>
    <xf numFmtId="167" fontId="16" fillId="0" borderId="2" xfId="23" applyNumberFormat="1" applyFont="1" applyFill="1" applyBorder="1" applyAlignment="1">
      <alignment vertical="center" wrapText="1"/>
    </xf>
    <xf numFmtId="167" fontId="10" fillId="0" borderId="2" xfId="23" applyNumberFormat="1" applyFont="1" applyFill="1" applyBorder="1" applyAlignment="1">
      <alignment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66" fontId="8" fillId="0" borderId="2" xfId="23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166" fontId="3" fillId="0" borderId="2" xfId="2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166" fontId="28" fillId="0" borderId="2" xfId="23" applyNumberFormat="1" applyFont="1" applyFill="1" applyBorder="1" applyAlignment="1">
      <alignment horizontal="center" vertical="center" wrapText="1"/>
    </xf>
    <xf numFmtId="1" fontId="7" fillId="13" borderId="2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49" fontId="20" fillId="17" borderId="2" xfId="0" applyNumberFormat="1" applyFont="1" applyFill="1" applyBorder="1" applyAlignment="1">
      <alignment vertical="top" wrapText="1"/>
    </xf>
    <xf numFmtId="49" fontId="20" fillId="17" borderId="2" xfId="0" applyNumberFormat="1" applyFont="1" applyFill="1" applyBorder="1" applyAlignment="1">
      <alignment horizontal="center" vertical="center"/>
    </xf>
    <xf numFmtId="49" fontId="20" fillId="17" borderId="2" xfId="0" applyNumberFormat="1" applyFont="1" applyFill="1" applyBorder="1" applyAlignment="1">
      <alignment horizontal="center" vertical="center" wrapText="1"/>
    </xf>
    <xf numFmtId="0" fontId="20" fillId="17" borderId="2" xfId="0" applyFont="1" applyFill="1" applyBorder="1" applyAlignment="1">
      <alignment horizontal="center" vertical="center"/>
    </xf>
    <xf numFmtId="167" fontId="20" fillId="17" borderId="2" xfId="23" applyNumberFormat="1" applyFont="1" applyFill="1" applyBorder="1" applyAlignment="1">
      <alignment horizontal="right" vertical="center" wrapText="1"/>
    </xf>
    <xf numFmtId="0" fontId="20" fillId="17" borderId="2" xfId="0" applyFont="1" applyFill="1" applyBorder="1" applyAlignment="1">
      <alignment horizontal="center" vertical="center" wrapText="1"/>
    </xf>
    <xf numFmtId="49" fontId="16" fillId="17" borderId="2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168" fontId="20" fillId="17" borderId="2" xfId="23" applyNumberFormat="1" applyFont="1" applyFill="1" applyBorder="1" applyAlignment="1">
      <alignment horizontal="right" vertical="center" wrapText="1"/>
    </xf>
    <xf numFmtId="166" fontId="20" fillId="17" borderId="2" xfId="23" applyNumberFormat="1" applyFont="1" applyFill="1" applyBorder="1" applyAlignment="1">
      <alignment horizontal="right" vertical="center" wrapText="1"/>
    </xf>
    <xf numFmtId="49" fontId="10" fillId="17" borderId="2" xfId="0" applyNumberFormat="1" applyFont="1" applyFill="1" applyBorder="1" applyAlignment="1">
      <alignment horizontal="center" vertical="center" wrapText="1"/>
    </xf>
    <xf numFmtId="167" fontId="17" fillId="17" borderId="2" xfId="23" applyNumberFormat="1" applyFont="1" applyFill="1" applyBorder="1" applyAlignment="1">
      <alignment horizontal="right" vertical="center" wrapText="1"/>
    </xf>
    <xf numFmtId="0" fontId="20" fillId="17" borderId="2" xfId="0" applyNumberFormat="1" applyFont="1" applyFill="1" applyBorder="1" applyAlignment="1">
      <alignment vertical="top" wrapText="1"/>
    </xf>
    <xf numFmtId="0" fontId="30" fillId="17" borderId="2" xfId="0" applyNumberFormat="1" applyFont="1" applyFill="1" applyBorder="1" applyAlignment="1">
      <alignment vertical="top" wrapText="1"/>
    </xf>
    <xf numFmtId="49" fontId="19" fillId="17" borderId="2" xfId="0" applyNumberFormat="1" applyFont="1" applyFill="1" applyBorder="1" applyAlignment="1">
      <alignment horizontal="center" vertical="center" wrapText="1"/>
    </xf>
    <xf numFmtId="49" fontId="20" fillId="14" borderId="2" xfId="0" applyNumberFormat="1" applyFont="1" applyFill="1" applyBorder="1" applyAlignment="1">
      <alignment horizontal="center" vertical="center" wrapText="1"/>
    </xf>
    <xf numFmtId="166" fontId="16" fillId="14" borderId="2" xfId="23" applyNumberFormat="1" applyFont="1" applyFill="1" applyBorder="1" applyAlignment="1">
      <alignment horizontal="right" vertical="center" wrapText="1"/>
    </xf>
    <xf numFmtId="0" fontId="20" fillId="0" borderId="2" xfId="0" applyNumberFormat="1" applyFont="1" applyFill="1" applyBorder="1" applyAlignment="1">
      <alignment vertical="top" wrapText="1"/>
    </xf>
    <xf numFmtId="168" fontId="5" fillId="13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wrapText="1"/>
    </xf>
    <xf numFmtId="0" fontId="21" fillId="0" borderId="2" xfId="0" applyFont="1" applyFill="1" applyBorder="1" applyAlignment="1">
      <alignment horizontal="center" vertical="center"/>
    </xf>
    <xf numFmtId="166" fontId="5" fillId="13" borderId="2" xfId="0" applyNumberFormat="1" applyFont="1" applyFill="1" applyBorder="1" applyAlignment="1">
      <alignment vertical="top" wrapText="1"/>
    </xf>
    <xf numFmtId="0" fontId="5" fillId="14" borderId="2" xfId="0" applyFont="1" applyFill="1" applyBorder="1" applyAlignment="1">
      <alignment horizontal="left" vertical="center" wrapText="1"/>
    </xf>
    <xf numFmtId="0" fontId="9" fillId="14" borderId="2" xfId="0" applyFont="1" applyFill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center"/>
    </xf>
    <xf numFmtId="49" fontId="5" fillId="14" borderId="2" xfId="0" applyNumberFormat="1" applyFont="1" applyFill="1" applyBorder="1" applyAlignment="1">
      <alignment horizontal="center" vertical="center" wrapText="1"/>
    </xf>
    <xf numFmtId="167" fontId="5" fillId="14" borderId="2" xfId="23" applyNumberFormat="1" applyFont="1" applyFill="1" applyBorder="1" applyAlignment="1">
      <alignment horizontal="right" vertical="center" wrapText="1"/>
    </xf>
    <xf numFmtId="49" fontId="10" fillId="14" borderId="2" xfId="0" applyNumberFormat="1" applyFont="1" applyFill="1" applyBorder="1" applyAlignment="1">
      <alignment horizontal="center" vertical="center" wrapText="1"/>
    </xf>
    <xf numFmtId="166" fontId="10" fillId="14" borderId="2" xfId="23" applyNumberFormat="1" applyFont="1" applyFill="1" applyBorder="1" applyAlignment="1">
      <alignment horizontal="right" vertical="center" wrapText="1"/>
    </xf>
    <xf numFmtId="0" fontId="32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 wrapText="1"/>
    </xf>
    <xf numFmtId="166" fontId="8" fillId="0" borderId="2" xfId="23" applyNumberFormat="1" applyFont="1" applyFill="1" applyBorder="1" applyAlignment="1">
      <alignment horizontal="right" vertical="center" wrapText="1"/>
    </xf>
    <xf numFmtId="0" fontId="31" fillId="0" borderId="0" xfId="0" applyFont="1" applyFill="1"/>
    <xf numFmtId="0" fontId="8" fillId="13" borderId="2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4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8" fillId="13" borderId="2" xfId="0" applyFont="1" applyFill="1" applyBorder="1" applyAlignment="1">
      <alignment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vertical="center"/>
    </xf>
    <xf numFmtId="0" fontId="9" fillId="0" borderId="0" xfId="0" applyFont="1"/>
    <xf numFmtId="0" fontId="0" fillId="0" borderId="0" xfId="0" applyFill="1" applyAlignment="1">
      <alignment horizontal="right"/>
    </xf>
    <xf numFmtId="0" fontId="5" fillId="0" borderId="0" xfId="0" applyFont="1" applyAlignment="1">
      <alignment horizontal="center" vertical="center"/>
    </xf>
    <xf numFmtId="166" fontId="8" fillId="13" borderId="2" xfId="0" applyNumberFormat="1" applyFont="1" applyFill="1" applyBorder="1" applyAlignment="1">
      <alignment vertical="top" wrapText="1"/>
    </xf>
    <xf numFmtId="49" fontId="8" fillId="13" borderId="2" xfId="0" applyNumberFormat="1" applyFont="1" applyFill="1" applyBorder="1" applyAlignment="1">
      <alignment horizontal="center" vertical="center" wrapText="1"/>
    </xf>
    <xf numFmtId="167" fontId="8" fillId="13" borderId="2" xfId="23" applyNumberFormat="1" applyFont="1" applyFill="1" applyBorder="1" applyAlignment="1">
      <alignment horizontal="right" vertical="center" wrapText="1"/>
    </xf>
    <xf numFmtId="0" fontId="8" fillId="14" borderId="2" xfId="0" applyFont="1" applyFill="1" applyBorder="1" applyAlignment="1">
      <alignment horizontal="left" vertical="center" wrapText="1"/>
    </xf>
    <xf numFmtId="0" fontId="10" fillId="14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49" fontId="8" fillId="14" borderId="2" xfId="0" applyNumberFormat="1" applyFont="1" applyFill="1" applyBorder="1" applyAlignment="1">
      <alignment horizontal="center" vertical="center" wrapText="1"/>
    </xf>
    <xf numFmtId="167" fontId="8" fillId="14" borderId="2" xfId="23" applyNumberFormat="1" applyFont="1" applyFill="1" applyBorder="1" applyAlignment="1">
      <alignment horizontal="right" vertical="center" wrapText="1"/>
    </xf>
    <xf numFmtId="0" fontId="10" fillId="0" borderId="0" xfId="0" applyNumberFormat="1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center" vertical="center"/>
    </xf>
    <xf numFmtId="166" fontId="5" fillId="13" borderId="2" xfId="23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6" fontId="9" fillId="0" borderId="0" xfId="23" applyNumberFormat="1" applyFont="1"/>
    <xf numFmtId="0" fontId="37" fillId="0" borderId="0" xfId="0" applyFont="1"/>
    <xf numFmtId="0" fontId="9" fillId="0" borderId="0" xfId="0" applyFont="1" applyFill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3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6" fontId="8" fillId="0" borderId="2" xfId="23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166" fontId="8" fillId="0" borderId="2" xfId="23" applyNumberFormat="1" applyFont="1" applyBorder="1" applyAlignment="1">
      <alignment horizontal="center" vertical="center" wrapText="1"/>
    </xf>
    <xf numFmtId="0" fontId="29" fillId="0" borderId="0" xfId="0" applyFont="1"/>
    <xf numFmtId="169" fontId="9" fillId="0" borderId="0" xfId="0" applyNumberFormat="1" applyFont="1"/>
    <xf numFmtId="169" fontId="16" fillId="0" borderId="2" xfId="23" applyNumberFormat="1" applyFont="1" applyFill="1" applyBorder="1" applyAlignment="1">
      <alignment horizontal="right" vertical="center" wrapText="1"/>
    </xf>
    <xf numFmtId="169" fontId="10" fillId="0" borderId="2" xfId="23" applyNumberFormat="1" applyFont="1" applyFill="1" applyBorder="1" applyAlignment="1">
      <alignment horizontal="right" vertical="center" wrapText="1"/>
    </xf>
    <xf numFmtId="169" fontId="20" fillId="17" borderId="2" xfId="23" applyNumberFormat="1" applyFont="1" applyFill="1" applyBorder="1" applyAlignment="1">
      <alignment horizontal="right" vertical="center" wrapText="1"/>
    </xf>
    <xf numFmtId="168" fontId="18" fillId="0" borderId="2" xfId="23" applyNumberFormat="1" applyFont="1" applyFill="1" applyBorder="1" applyAlignment="1">
      <alignment horizontal="right" vertical="center" wrapText="1"/>
    </xf>
    <xf numFmtId="168" fontId="10" fillId="0" borderId="0" xfId="23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0" xfId="0" applyNumberFormat="1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168" fontId="4" fillId="0" borderId="3" xfId="23" applyNumberFormat="1" applyFont="1" applyBorder="1" applyAlignment="1">
      <alignment horizontal="right"/>
    </xf>
    <xf numFmtId="0" fontId="9" fillId="0" borderId="0" xfId="0" applyFont="1"/>
    <xf numFmtId="0" fontId="6" fillId="0" borderId="2" xfId="0" applyFont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top" wrapText="1"/>
    </xf>
    <xf numFmtId="166" fontId="4" fillId="0" borderId="3" xfId="23" applyNumberFormat="1" applyFont="1" applyBorder="1" applyAlignment="1">
      <alignment horizontal="right"/>
    </xf>
    <xf numFmtId="0" fontId="26" fillId="0" borderId="0" xfId="0" applyNumberFormat="1" applyFont="1" applyFill="1" applyAlignment="1">
      <alignment horizontal="center" vertical="top" wrapText="1"/>
    </xf>
    <xf numFmtId="0" fontId="9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right"/>
    </xf>
    <xf numFmtId="0" fontId="25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31" fillId="0" borderId="4" xfId="0" applyFont="1" applyFill="1" applyBorder="1" applyAlignment="1">
      <alignment horizontal="left"/>
    </xf>
    <xf numFmtId="0" fontId="31" fillId="0" borderId="5" xfId="0" applyFont="1" applyFill="1" applyBorder="1" applyAlignment="1">
      <alignment horizontal="left"/>
    </xf>
    <xf numFmtId="0" fontId="31" fillId="0" borderId="6" xfId="0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3" fillId="0" borderId="3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wrapText="1"/>
    </xf>
  </cellXfs>
  <cellStyles count="2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0" xfId="19"/>
    <cellStyle name="xl42" xfId="20"/>
    <cellStyle name="Обычный" xfId="0" builtinId="0"/>
    <cellStyle name="Тысячи [0]_Лист1" xfId="21"/>
    <cellStyle name="Тысячи_Лист1" xfId="22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0"/>
  </sheetPr>
  <dimension ref="A1:C90"/>
  <sheetViews>
    <sheetView view="pageBreakPreview" topLeftCell="A68" zoomScale="130" zoomScaleNormal="130" zoomScaleSheetLayoutView="130" workbookViewId="0">
      <selection activeCell="C15" sqref="C15"/>
    </sheetView>
  </sheetViews>
  <sheetFormatPr defaultRowHeight="12.75" x14ac:dyDescent="0.2"/>
  <cols>
    <col min="1" max="1" width="31.7109375" customWidth="1"/>
    <col min="2" max="2" width="46.28515625" customWidth="1"/>
    <col min="3" max="3" width="17.7109375" customWidth="1"/>
  </cols>
  <sheetData>
    <row r="1" spans="1:3" ht="15" x14ac:dyDescent="0.25">
      <c r="A1" s="232" t="s">
        <v>21</v>
      </c>
      <c r="B1" s="232"/>
      <c r="C1" s="232"/>
    </row>
    <row r="2" spans="1:3" ht="15" x14ac:dyDescent="0.25">
      <c r="A2" s="232" t="s">
        <v>609</v>
      </c>
      <c r="B2" s="232"/>
      <c r="C2" s="232"/>
    </row>
    <row r="3" spans="1:3" ht="15" x14ac:dyDescent="0.25">
      <c r="A3" s="232" t="s">
        <v>853</v>
      </c>
      <c r="B3" s="232"/>
      <c r="C3" s="232"/>
    </row>
    <row r="4" spans="1:3" ht="15" x14ac:dyDescent="0.25">
      <c r="A4" s="232" t="s">
        <v>602</v>
      </c>
      <c r="B4" s="232"/>
      <c r="C4" s="232"/>
    </row>
    <row r="5" spans="1:3" ht="15" x14ac:dyDescent="0.25">
      <c r="A5" s="232" t="s">
        <v>603</v>
      </c>
      <c r="B5" s="232"/>
      <c r="C5" s="232"/>
    </row>
    <row r="6" spans="1:3" ht="15" x14ac:dyDescent="0.25">
      <c r="A6" s="232" t="s">
        <v>610</v>
      </c>
      <c r="B6" s="232"/>
      <c r="C6" s="232"/>
    </row>
    <row r="7" spans="1:3" ht="15" x14ac:dyDescent="0.25">
      <c r="A7" s="232" t="s">
        <v>604</v>
      </c>
      <c r="B7" s="232"/>
      <c r="C7" s="232"/>
    </row>
    <row r="8" spans="1:3" x14ac:dyDescent="0.2">
      <c r="A8" s="188"/>
      <c r="B8" s="188"/>
      <c r="C8" s="188"/>
    </row>
    <row r="9" spans="1:3" ht="12.75" customHeight="1" x14ac:dyDescent="0.25">
      <c r="A9" s="232" t="s">
        <v>684</v>
      </c>
      <c r="B9" s="232"/>
      <c r="C9" s="232"/>
    </row>
    <row r="10" spans="1:3" ht="15" x14ac:dyDescent="0.25">
      <c r="A10" s="232" t="s">
        <v>608</v>
      </c>
      <c r="B10" s="232"/>
      <c r="C10" s="232"/>
    </row>
    <row r="11" spans="1:3" ht="15" x14ac:dyDescent="0.25">
      <c r="A11" s="232" t="s">
        <v>611</v>
      </c>
      <c r="B11" s="232"/>
      <c r="C11" s="232"/>
    </row>
    <row r="12" spans="1:3" ht="15" x14ac:dyDescent="0.25">
      <c r="A12" s="232" t="s">
        <v>606</v>
      </c>
      <c r="B12" s="232"/>
      <c r="C12" s="232"/>
    </row>
    <row r="13" spans="1:3" ht="15" x14ac:dyDescent="0.25">
      <c r="A13" s="232" t="s">
        <v>607</v>
      </c>
      <c r="B13" s="232"/>
      <c r="C13" s="232"/>
    </row>
    <row r="15" spans="1:3" ht="15" x14ac:dyDescent="0.25">
      <c r="A15" s="1"/>
      <c r="B15" s="1"/>
      <c r="C15" s="1"/>
    </row>
    <row r="16" spans="1:3" ht="15.75" x14ac:dyDescent="0.25">
      <c r="A16" s="233" t="s">
        <v>800</v>
      </c>
      <c r="B16" s="233"/>
      <c r="C16" s="233"/>
    </row>
    <row r="17" spans="1:3" ht="15.75" customHeight="1" x14ac:dyDescent="0.25">
      <c r="A17" s="233" t="s">
        <v>801</v>
      </c>
      <c r="B17" s="233"/>
      <c r="C17" s="233"/>
    </row>
    <row r="18" spans="1:3" ht="15.75" x14ac:dyDescent="0.25">
      <c r="A18" s="233" t="s">
        <v>737</v>
      </c>
      <c r="B18" s="233"/>
      <c r="C18" s="233"/>
    </row>
    <row r="19" spans="1:3" x14ac:dyDescent="0.2">
      <c r="A19" s="236" t="s">
        <v>802</v>
      </c>
      <c r="B19" s="236"/>
      <c r="C19" s="236"/>
    </row>
    <row r="20" spans="1:3" ht="24" x14ac:dyDescent="0.2">
      <c r="A20" s="69" t="s">
        <v>803</v>
      </c>
      <c r="B20" s="69" t="s">
        <v>456</v>
      </c>
      <c r="C20" s="69" t="s">
        <v>738</v>
      </c>
    </row>
    <row r="21" spans="1:3" ht="28.5" x14ac:dyDescent="0.2">
      <c r="A21" s="140" t="s">
        <v>804</v>
      </c>
      <c r="B21" s="187" t="s">
        <v>805</v>
      </c>
      <c r="C21" s="171">
        <f>C22+C24+C26+C31+C35+C36+C41+C43+C44+C47+C48</f>
        <v>2368684.5213200003</v>
      </c>
    </row>
    <row r="22" spans="1:3" s="32" customFormat="1" ht="14.25" x14ac:dyDescent="0.2">
      <c r="A22" s="141" t="s">
        <v>806</v>
      </c>
      <c r="B22" s="68" t="s">
        <v>807</v>
      </c>
      <c r="C22" s="142">
        <f>C23</f>
        <v>1056600</v>
      </c>
    </row>
    <row r="23" spans="1:3" s="32" customFormat="1" ht="15" x14ac:dyDescent="0.2">
      <c r="A23" s="143" t="s">
        <v>808</v>
      </c>
      <c r="B23" s="189" t="s">
        <v>809</v>
      </c>
      <c r="C23" s="144">
        <v>1056600</v>
      </c>
    </row>
    <row r="24" spans="1:3" s="32" customFormat="1" ht="25.5" x14ac:dyDescent="0.2">
      <c r="A24" s="145" t="s">
        <v>300</v>
      </c>
      <c r="B24" s="68" t="s">
        <v>301</v>
      </c>
      <c r="C24" s="142">
        <f>C25</f>
        <v>16929</v>
      </c>
    </row>
    <row r="25" spans="1:3" s="32" customFormat="1" ht="25.5" x14ac:dyDescent="0.2">
      <c r="A25" s="143" t="s">
        <v>263</v>
      </c>
      <c r="B25" s="189" t="s">
        <v>826</v>
      </c>
      <c r="C25" s="144">
        <v>16929</v>
      </c>
    </row>
    <row r="26" spans="1:3" s="32" customFormat="1" ht="14.25" x14ac:dyDescent="0.2">
      <c r="A26" s="145" t="s">
        <v>810</v>
      </c>
      <c r="B26" s="68" t="s">
        <v>811</v>
      </c>
      <c r="C26" s="142">
        <f>C27+C28+C29+C30</f>
        <v>522557</v>
      </c>
    </row>
    <row r="27" spans="1:3" s="32" customFormat="1" ht="25.5" x14ac:dyDescent="0.2">
      <c r="A27" s="143" t="s">
        <v>812</v>
      </c>
      <c r="B27" s="189" t="s">
        <v>815</v>
      </c>
      <c r="C27" s="144">
        <v>399887</v>
      </c>
    </row>
    <row r="28" spans="1:3" s="32" customFormat="1" ht="25.5" x14ac:dyDescent="0.2">
      <c r="A28" s="143" t="s">
        <v>816</v>
      </c>
      <c r="B28" s="189" t="s">
        <v>111</v>
      </c>
      <c r="C28" s="144">
        <v>116680</v>
      </c>
    </row>
    <row r="29" spans="1:3" s="32" customFormat="1" ht="15" x14ac:dyDescent="0.2">
      <c r="A29" s="143" t="s">
        <v>112</v>
      </c>
      <c r="B29" s="189" t="s">
        <v>113</v>
      </c>
      <c r="C29" s="144">
        <v>4300</v>
      </c>
    </row>
    <row r="30" spans="1:3" s="32" customFormat="1" ht="25.5" x14ac:dyDescent="0.2">
      <c r="A30" s="146" t="s">
        <v>264</v>
      </c>
      <c r="B30" s="189" t="s">
        <v>343</v>
      </c>
      <c r="C30" s="144">
        <v>1690</v>
      </c>
    </row>
    <row r="31" spans="1:3" s="32" customFormat="1" ht="14.25" x14ac:dyDescent="0.2">
      <c r="A31" s="145" t="s">
        <v>114</v>
      </c>
      <c r="B31" s="68" t="s">
        <v>115</v>
      </c>
      <c r="C31" s="142">
        <f>C32+C33+C34</f>
        <v>468944.52132</v>
      </c>
    </row>
    <row r="32" spans="1:3" s="32" customFormat="1" ht="15" x14ac:dyDescent="0.2">
      <c r="A32" s="143" t="s">
        <v>116</v>
      </c>
      <c r="B32" s="189" t="s">
        <v>117</v>
      </c>
      <c r="C32" s="144">
        <v>63090</v>
      </c>
    </row>
    <row r="33" spans="1:3" s="32" customFormat="1" ht="15" x14ac:dyDescent="0.2">
      <c r="A33" s="143" t="s">
        <v>302</v>
      </c>
      <c r="B33" s="189" t="s">
        <v>303</v>
      </c>
      <c r="C33" s="144">
        <v>206537</v>
      </c>
    </row>
    <row r="34" spans="1:3" s="32" customFormat="1" ht="15" x14ac:dyDescent="0.2">
      <c r="A34" s="143" t="s">
        <v>118</v>
      </c>
      <c r="B34" s="189" t="s">
        <v>119</v>
      </c>
      <c r="C34" s="144">
        <f>180900+18417.52132</f>
        <v>199317.52132</v>
      </c>
    </row>
    <row r="35" spans="1:3" s="32" customFormat="1" ht="14.25" x14ac:dyDescent="0.2">
      <c r="A35" s="145" t="s">
        <v>120</v>
      </c>
      <c r="B35" s="68" t="s">
        <v>121</v>
      </c>
      <c r="C35" s="142">
        <v>53357</v>
      </c>
    </row>
    <row r="36" spans="1:3" s="32" customFormat="1" ht="25.5" x14ac:dyDescent="0.2">
      <c r="A36" s="145" t="s">
        <v>122</v>
      </c>
      <c r="B36" s="68" t="s">
        <v>123</v>
      </c>
      <c r="C36" s="142">
        <f>C37+C38+C39+C40</f>
        <v>114900</v>
      </c>
    </row>
    <row r="37" spans="1:3" s="32" customFormat="1" ht="80.25" customHeight="1" x14ac:dyDescent="0.2">
      <c r="A37" s="143" t="s">
        <v>265</v>
      </c>
      <c r="B37" s="189" t="s">
        <v>518</v>
      </c>
      <c r="C37" s="144">
        <v>101000</v>
      </c>
    </row>
    <row r="38" spans="1:3" s="32" customFormat="1" ht="63.75" x14ac:dyDescent="0.2">
      <c r="A38" s="143" t="s">
        <v>240</v>
      </c>
      <c r="B38" s="189" t="s">
        <v>261</v>
      </c>
      <c r="C38" s="144">
        <v>2500</v>
      </c>
    </row>
    <row r="39" spans="1:3" s="32" customFormat="1" ht="60" x14ac:dyDescent="0.2">
      <c r="A39" s="146" t="s">
        <v>454</v>
      </c>
      <c r="B39" s="190" t="s">
        <v>455</v>
      </c>
      <c r="C39" s="144">
        <v>10900</v>
      </c>
    </row>
    <row r="40" spans="1:3" s="32" customFormat="1" ht="51" x14ac:dyDescent="0.2">
      <c r="A40" s="143" t="s">
        <v>429</v>
      </c>
      <c r="B40" s="189" t="s">
        <v>432</v>
      </c>
      <c r="C40" s="144">
        <v>500</v>
      </c>
    </row>
    <row r="41" spans="1:3" s="32" customFormat="1" ht="14.25" x14ac:dyDescent="0.2">
      <c r="A41" s="145" t="s">
        <v>124</v>
      </c>
      <c r="B41" s="68" t="s">
        <v>125</v>
      </c>
      <c r="C41" s="142">
        <f>C42</f>
        <v>3382</v>
      </c>
    </row>
    <row r="42" spans="1:3" s="32" customFormat="1" ht="25.5" x14ac:dyDescent="0.2">
      <c r="A42" s="143" t="s">
        <v>126</v>
      </c>
      <c r="B42" s="189" t="s">
        <v>127</v>
      </c>
      <c r="C42" s="144">
        <v>3382</v>
      </c>
    </row>
    <row r="43" spans="1:3" s="32" customFormat="1" ht="25.5" x14ac:dyDescent="0.2">
      <c r="A43" s="145" t="s">
        <v>266</v>
      </c>
      <c r="B43" s="68" t="s">
        <v>457</v>
      </c>
      <c r="C43" s="142">
        <v>500</v>
      </c>
    </row>
    <row r="44" spans="1:3" s="32" customFormat="1" ht="25.5" x14ac:dyDescent="0.2">
      <c r="A44" s="145" t="s">
        <v>128</v>
      </c>
      <c r="B44" s="68" t="s">
        <v>129</v>
      </c>
      <c r="C44" s="142">
        <f>C45+C46</f>
        <v>75000</v>
      </c>
    </row>
    <row r="45" spans="1:3" s="32" customFormat="1" ht="78" customHeight="1" x14ac:dyDescent="0.2">
      <c r="A45" s="143" t="s">
        <v>283</v>
      </c>
      <c r="B45" s="189" t="s">
        <v>519</v>
      </c>
      <c r="C45" s="144">
        <v>45000</v>
      </c>
    </row>
    <row r="46" spans="1:3" s="32" customFormat="1" ht="51" x14ac:dyDescent="0.2">
      <c r="A46" s="143" t="s">
        <v>130</v>
      </c>
      <c r="B46" s="189" t="s">
        <v>131</v>
      </c>
      <c r="C46" s="144">
        <v>30000</v>
      </c>
    </row>
    <row r="47" spans="1:3" s="32" customFormat="1" ht="14.25" x14ac:dyDescent="0.2">
      <c r="A47" s="141" t="s">
        <v>132</v>
      </c>
      <c r="B47" s="68" t="s">
        <v>133</v>
      </c>
      <c r="C47" s="142">
        <v>35515</v>
      </c>
    </row>
    <row r="48" spans="1:3" s="32" customFormat="1" ht="14.25" x14ac:dyDescent="0.2">
      <c r="A48" s="147" t="s">
        <v>305</v>
      </c>
      <c r="B48" s="68" t="s">
        <v>304</v>
      </c>
      <c r="C48" s="142">
        <v>21000</v>
      </c>
    </row>
    <row r="49" spans="1:3" s="32" customFormat="1" ht="15.75" x14ac:dyDescent="0.2">
      <c r="A49" s="140" t="s">
        <v>134</v>
      </c>
      <c r="B49" s="191" t="s">
        <v>135</v>
      </c>
      <c r="C49" s="133">
        <f>C50+C53+C61+C70</f>
        <v>2818072.1256300001</v>
      </c>
    </row>
    <row r="50" spans="1:3" s="9" customFormat="1" ht="25.5" x14ac:dyDescent="0.2">
      <c r="A50" s="145" t="s">
        <v>765</v>
      </c>
      <c r="B50" s="68" t="s">
        <v>136</v>
      </c>
      <c r="C50" s="142">
        <f>C51+C52</f>
        <v>184733</v>
      </c>
    </row>
    <row r="51" spans="1:3" s="9" customFormat="1" ht="25.5" x14ac:dyDescent="0.2">
      <c r="A51" s="143" t="s">
        <v>766</v>
      </c>
      <c r="B51" s="189" t="s">
        <v>137</v>
      </c>
      <c r="C51" s="144">
        <v>145864</v>
      </c>
    </row>
    <row r="52" spans="1:3" s="9" customFormat="1" ht="25.5" x14ac:dyDescent="0.2">
      <c r="A52" s="143" t="s">
        <v>767</v>
      </c>
      <c r="B52" s="189" t="s">
        <v>137</v>
      </c>
      <c r="C52" s="144">
        <v>38869</v>
      </c>
    </row>
    <row r="53" spans="1:3" s="9" customFormat="1" ht="25.5" x14ac:dyDescent="0.2">
      <c r="A53" s="145" t="s">
        <v>768</v>
      </c>
      <c r="B53" s="68" t="s">
        <v>169</v>
      </c>
      <c r="C53" s="142">
        <f>C54+C55+C56+C57+C58+C60+C59</f>
        <v>488280.39062999998</v>
      </c>
    </row>
    <row r="54" spans="1:3" s="9" customFormat="1" ht="89.25" x14ac:dyDescent="0.2">
      <c r="A54" s="143" t="s">
        <v>769</v>
      </c>
      <c r="B54" s="189" t="s">
        <v>520</v>
      </c>
      <c r="C54" s="144">
        <f>134196.9+97095.8</f>
        <v>231292.7</v>
      </c>
    </row>
    <row r="55" spans="1:3" s="9" customFormat="1" ht="101.25" customHeight="1" x14ac:dyDescent="0.2">
      <c r="A55" s="143" t="s">
        <v>615</v>
      </c>
      <c r="B55" s="189" t="s">
        <v>616</v>
      </c>
      <c r="C55" s="144">
        <f>19798.44+46196.35</f>
        <v>65994.789999999994</v>
      </c>
    </row>
    <row r="56" spans="1:3" s="9" customFormat="1" ht="75.75" customHeight="1" x14ac:dyDescent="0.2">
      <c r="A56" s="143" t="s">
        <v>617</v>
      </c>
      <c r="B56" s="189" t="s">
        <v>634</v>
      </c>
      <c r="C56" s="144">
        <f>700+2749.15079</f>
        <v>3449.1507900000001</v>
      </c>
    </row>
    <row r="57" spans="1:3" s="9" customFormat="1" ht="38.25" x14ac:dyDescent="0.2">
      <c r="A57" s="143" t="s">
        <v>480</v>
      </c>
      <c r="B57" s="189" t="s">
        <v>492</v>
      </c>
      <c r="C57" s="144">
        <v>3579.9</v>
      </c>
    </row>
    <row r="58" spans="1:3" s="9" customFormat="1" ht="25.5" x14ac:dyDescent="0.2">
      <c r="A58" s="143" t="s">
        <v>220</v>
      </c>
      <c r="B58" s="189" t="s">
        <v>221</v>
      </c>
      <c r="C58" s="144">
        <v>24365.511750000001</v>
      </c>
    </row>
    <row r="59" spans="1:3" s="9" customFormat="1" ht="25.5" x14ac:dyDescent="0.2">
      <c r="A59" s="143" t="s">
        <v>295</v>
      </c>
      <c r="B59" s="189" t="s">
        <v>294</v>
      </c>
      <c r="C59" s="144">
        <v>86.798090000000002</v>
      </c>
    </row>
    <row r="60" spans="1:3" s="9" customFormat="1" ht="27.75" customHeight="1" x14ac:dyDescent="0.2">
      <c r="A60" s="143" t="s">
        <v>770</v>
      </c>
      <c r="B60" s="189" t="s">
        <v>344</v>
      </c>
      <c r="C60" s="144">
        <f>158816+695.54</f>
        <v>159511.54</v>
      </c>
    </row>
    <row r="61" spans="1:3" s="9" customFormat="1" ht="25.5" x14ac:dyDescent="0.2">
      <c r="A61" s="145" t="s">
        <v>771</v>
      </c>
      <c r="B61" s="68" t="s">
        <v>143</v>
      </c>
      <c r="C61" s="142">
        <f>C62+C68+C69</f>
        <v>1625501.28</v>
      </c>
    </row>
    <row r="62" spans="1:3" s="9" customFormat="1" ht="40.5" x14ac:dyDescent="0.2">
      <c r="A62" s="148" t="s">
        <v>772</v>
      </c>
      <c r="B62" s="98" t="s">
        <v>284</v>
      </c>
      <c r="C62" s="149">
        <f>C63+C64+C65+C66+C67</f>
        <v>1611818.28</v>
      </c>
    </row>
    <row r="63" spans="1:3" s="9" customFormat="1" ht="66" customHeight="1" x14ac:dyDescent="0.2">
      <c r="A63" s="143" t="s">
        <v>773</v>
      </c>
      <c r="B63" s="189" t="s">
        <v>348</v>
      </c>
      <c r="C63" s="144">
        <v>685235.19999999995</v>
      </c>
    </row>
    <row r="64" spans="1:3" s="9" customFormat="1" ht="89.25" x14ac:dyDescent="0.2">
      <c r="A64" s="143" t="s">
        <v>774</v>
      </c>
      <c r="B64" s="189" t="s">
        <v>521</v>
      </c>
      <c r="C64" s="144">
        <f>871843+4600</f>
        <v>876443</v>
      </c>
    </row>
    <row r="65" spans="1:3" s="9" customFormat="1" ht="38.25" x14ac:dyDescent="0.2">
      <c r="A65" s="143" t="s">
        <v>775</v>
      </c>
      <c r="B65" s="189" t="s">
        <v>349</v>
      </c>
      <c r="C65" s="144">
        <f>16960-7371.92</f>
        <v>9588.08</v>
      </c>
    </row>
    <row r="66" spans="1:3" s="9" customFormat="1" ht="51" x14ac:dyDescent="0.2">
      <c r="A66" s="143" t="s">
        <v>776</v>
      </c>
      <c r="B66" s="189" t="s">
        <v>350</v>
      </c>
      <c r="C66" s="144">
        <f>36758+1600</f>
        <v>38358</v>
      </c>
    </row>
    <row r="67" spans="1:3" s="9" customFormat="1" ht="51" x14ac:dyDescent="0.2">
      <c r="A67" s="143" t="s">
        <v>777</v>
      </c>
      <c r="B67" s="189" t="s">
        <v>200</v>
      </c>
      <c r="C67" s="144">
        <v>2194</v>
      </c>
    </row>
    <row r="68" spans="1:3" s="9" customFormat="1" ht="67.5" x14ac:dyDescent="0.2">
      <c r="A68" s="148" t="s">
        <v>778</v>
      </c>
      <c r="B68" s="98" t="s">
        <v>356</v>
      </c>
      <c r="C68" s="149">
        <v>13500</v>
      </c>
    </row>
    <row r="69" spans="1:3" s="9" customFormat="1" ht="56.25" customHeight="1" x14ac:dyDescent="0.2">
      <c r="A69" s="148" t="s">
        <v>779</v>
      </c>
      <c r="B69" s="98" t="s">
        <v>458</v>
      </c>
      <c r="C69" s="149">
        <v>183</v>
      </c>
    </row>
    <row r="70" spans="1:3" s="9" customFormat="1" ht="14.25" x14ac:dyDescent="0.2">
      <c r="A70" s="145" t="s">
        <v>487</v>
      </c>
      <c r="B70" s="68" t="s">
        <v>483</v>
      </c>
      <c r="C70" s="185">
        <f>C71+C72</f>
        <v>519557.45500000002</v>
      </c>
    </row>
    <row r="71" spans="1:3" s="9" customFormat="1" ht="54.75" customHeight="1" x14ac:dyDescent="0.2">
      <c r="A71" s="143" t="s">
        <v>489</v>
      </c>
      <c r="B71" s="189" t="s">
        <v>488</v>
      </c>
      <c r="C71" s="144">
        <f>515635+3072.3</f>
        <v>518707.3</v>
      </c>
    </row>
    <row r="72" spans="1:3" s="9" customFormat="1" ht="38.25" x14ac:dyDescent="0.2">
      <c r="A72" s="206" t="s">
        <v>643</v>
      </c>
      <c r="B72" s="189" t="s">
        <v>644</v>
      </c>
      <c r="C72" s="144">
        <f>276.675+573.48</f>
        <v>850.15499999999997</v>
      </c>
    </row>
    <row r="73" spans="1:3" ht="15.75" x14ac:dyDescent="0.2">
      <c r="A73" s="150" t="s">
        <v>248</v>
      </c>
      <c r="B73" s="21" t="s">
        <v>249</v>
      </c>
      <c r="C73" s="133">
        <f>C21+C49</f>
        <v>5186756.6469500009</v>
      </c>
    </row>
    <row r="74" spans="1:3" hidden="1" x14ac:dyDescent="0.2"/>
    <row r="75" spans="1:3" hidden="1" x14ac:dyDescent="0.2"/>
    <row r="76" spans="1:3" ht="31.5" hidden="1" customHeight="1" x14ac:dyDescent="0.2">
      <c r="A76" s="235" t="s">
        <v>641</v>
      </c>
      <c r="B76" s="235"/>
      <c r="C76" s="235"/>
    </row>
    <row r="78" spans="1:3" ht="30" customHeight="1" x14ac:dyDescent="0.2">
      <c r="A78" s="234"/>
      <c r="B78" s="234"/>
    </row>
    <row r="90" spans="2:2" x14ac:dyDescent="0.2">
      <c r="B90" t="s">
        <v>640</v>
      </c>
    </row>
  </sheetData>
  <mergeCells count="18">
    <mergeCell ref="A11:C11"/>
    <mergeCell ref="A12:C12"/>
    <mergeCell ref="A16:C16"/>
    <mergeCell ref="A78:B78"/>
    <mergeCell ref="A76:C76"/>
    <mergeCell ref="A18:C18"/>
    <mergeCell ref="A17:C17"/>
    <mergeCell ref="A19:C19"/>
    <mergeCell ref="A13:C13"/>
    <mergeCell ref="A1:C1"/>
    <mergeCell ref="A2:C2"/>
    <mergeCell ref="A3:C3"/>
    <mergeCell ref="A4:C4"/>
    <mergeCell ref="A10:C10"/>
    <mergeCell ref="A5:C5"/>
    <mergeCell ref="A6:C6"/>
    <mergeCell ref="A7:C7"/>
    <mergeCell ref="A9:C9"/>
  </mergeCells>
  <phoneticPr fontId="2" type="noConversion"/>
  <pageMargins left="0.39370078740157483" right="0.39370078740157483" top="0.39370078740157483" bottom="0.39370078740157483" header="0" footer="0"/>
  <pageSetup paperSize="9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F31"/>
  <sheetViews>
    <sheetView tabSelected="1" view="pageBreakPreview" topLeftCell="A22" zoomScale="130" zoomScaleNormal="100" zoomScaleSheetLayoutView="130" workbookViewId="0">
      <selection activeCell="B30" sqref="B30"/>
    </sheetView>
  </sheetViews>
  <sheetFormatPr defaultRowHeight="12.75" x14ac:dyDescent="0.2"/>
  <cols>
    <col min="2" max="2" width="52.28515625" customWidth="1"/>
    <col min="3" max="3" width="31.140625" customWidth="1"/>
  </cols>
  <sheetData>
    <row r="1" spans="1:3" ht="15.75" x14ac:dyDescent="0.25">
      <c r="A1" s="218"/>
      <c r="B1" s="232" t="s">
        <v>597</v>
      </c>
      <c r="C1" s="232"/>
    </row>
    <row r="2" spans="1:3" ht="15.75" x14ac:dyDescent="0.25">
      <c r="A2" s="194"/>
      <c r="B2" s="232" t="s">
        <v>609</v>
      </c>
      <c r="C2" s="232"/>
    </row>
    <row r="3" spans="1:3" ht="15.75" x14ac:dyDescent="0.25">
      <c r="A3" s="194"/>
      <c r="B3" s="232" t="s">
        <v>857</v>
      </c>
      <c r="C3" s="232"/>
    </row>
    <row r="4" spans="1:3" ht="15.75" x14ac:dyDescent="0.25">
      <c r="A4" s="194"/>
      <c r="B4" s="262" t="s">
        <v>602</v>
      </c>
      <c r="C4" s="262"/>
    </row>
    <row r="5" spans="1:3" ht="15.75" x14ac:dyDescent="0.25">
      <c r="A5" s="194"/>
      <c r="B5" s="232" t="s">
        <v>603</v>
      </c>
      <c r="C5" s="232"/>
    </row>
    <row r="6" spans="1:3" ht="15.75" x14ac:dyDescent="0.25">
      <c r="A6" s="194"/>
      <c r="B6" s="232" t="s">
        <v>610</v>
      </c>
      <c r="C6" s="232"/>
    </row>
    <row r="7" spans="1:3" ht="15.75" x14ac:dyDescent="0.25">
      <c r="A7" s="194"/>
      <c r="B7" s="232" t="s">
        <v>604</v>
      </c>
      <c r="C7" s="232"/>
    </row>
    <row r="9" spans="1:3" ht="15" x14ac:dyDescent="0.25">
      <c r="A9" s="232" t="s">
        <v>619</v>
      </c>
      <c r="B9" s="232"/>
      <c r="C9" s="232"/>
    </row>
    <row r="10" spans="1:3" ht="15" x14ac:dyDescent="0.25">
      <c r="A10" s="232" t="s">
        <v>608</v>
      </c>
      <c r="B10" s="232"/>
      <c r="C10" s="232"/>
    </row>
    <row r="11" spans="1:3" ht="15" x14ac:dyDescent="0.25">
      <c r="A11" s="263" t="s">
        <v>605</v>
      </c>
      <c r="B11" s="263"/>
      <c r="C11" s="263"/>
    </row>
    <row r="12" spans="1:3" ht="15" x14ac:dyDescent="0.25">
      <c r="A12" s="232" t="s">
        <v>606</v>
      </c>
      <c r="B12" s="232"/>
      <c r="C12" s="232"/>
    </row>
    <row r="13" spans="1:3" ht="15" x14ac:dyDescent="0.25">
      <c r="A13" s="232" t="s">
        <v>607</v>
      </c>
      <c r="B13" s="232"/>
      <c r="C13" s="232"/>
    </row>
    <row r="14" spans="1:3" ht="15.75" x14ac:dyDescent="0.25">
      <c r="A14" s="239"/>
      <c r="B14" s="239"/>
      <c r="C14" s="194"/>
    </row>
    <row r="15" spans="1:3" ht="14.25" x14ac:dyDescent="0.2">
      <c r="A15" s="261" t="s">
        <v>620</v>
      </c>
      <c r="B15" s="261"/>
      <c r="C15" s="261"/>
    </row>
    <row r="16" spans="1:3" ht="14.25" x14ac:dyDescent="0.2">
      <c r="A16" s="261" t="s">
        <v>621</v>
      </c>
      <c r="B16" s="261"/>
      <c r="C16" s="261"/>
    </row>
    <row r="17" spans="1:6" ht="15" x14ac:dyDescent="0.2">
      <c r="A17" s="261" t="s">
        <v>737</v>
      </c>
      <c r="B17" s="261"/>
      <c r="C17" s="261"/>
      <c r="D17" s="214"/>
      <c r="E17" s="214"/>
      <c r="F17" s="214"/>
    </row>
    <row r="18" spans="1:6" ht="15.75" x14ac:dyDescent="0.25">
      <c r="A18" s="219"/>
      <c r="B18" s="260" t="s">
        <v>793</v>
      </c>
      <c r="C18" s="260"/>
      <c r="D18" s="214"/>
      <c r="E18" s="214"/>
      <c r="F18" s="214"/>
    </row>
    <row r="19" spans="1:6" ht="15" x14ac:dyDescent="0.2">
      <c r="A19" s="220" t="s">
        <v>622</v>
      </c>
      <c r="B19" s="220" t="s">
        <v>252</v>
      </c>
      <c r="C19" s="69" t="s">
        <v>618</v>
      </c>
      <c r="D19" s="214"/>
      <c r="E19" s="214"/>
      <c r="F19" s="214"/>
    </row>
    <row r="20" spans="1:6" ht="42.75" x14ac:dyDescent="0.2">
      <c r="A20" s="220" t="s">
        <v>623</v>
      </c>
      <c r="B20" s="221" t="s">
        <v>624</v>
      </c>
      <c r="C20" s="222">
        <v>0</v>
      </c>
      <c r="D20" s="214"/>
      <c r="E20" s="214"/>
      <c r="F20" s="214"/>
    </row>
    <row r="21" spans="1:6" ht="15.75" x14ac:dyDescent="0.2">
      <c r="A21" s="220" t="s">
        <v>625</v>
      </c>
      <c r="B21" s="223" t="s">
        <v>626</v>
      </c>
      <c r="C21" s="131">
        <v>1318562</v>
      </c>
      <c r="D21" s="214"/>
      <c r="E21" s="214"/>
      <c r="F21" s="214"/>
    </row>
    <row r="22" spans="1:6" ht="15.75" x14ac:dyDescent="0.2">
      <c r="A22" s="220" t="s">
        <v>627</v>
      </c>
      <c r="B22" s="223" t="s">
        <v>628</v>
      </c>
      <c r="C22" s="131">
        <f>211000+1784</f>
        <v>212784</v>
      </c>
      <c r="D22" s="214"/>
      <c r="E22" s="214"/>
      <c r="F22" s="214"/>
    </row>
    <row r="23" spans="1:6" ht="15" x14ac:dyDescent="0.2">
      <c r="A23" s="220"/>
      <c r="B23" s="221" t="s">
        <v>629</v>
      </c>
      <c r="C23" s="222">
        <f>C21+C22</f>
        <v>1531346</v>
      </c>
      <c r="D23" s="214"/>
      <c r="E23" s="214"/>
      <c r="F23" s="214"/>
    </row>
    <row r="24" spans="1:6" ht="28.5" x14ac:dyDescent="0.2">
      <c r="A24" s="220" t="s">
        <v>630</v>
      </c>
      <c r="B24" s="221" t="s">
        <v>631</v>
      </c>
      <c r="C24" s="224">
        <v>0</v>
      </c>
      <c r="D24" s="214"/>
      <c r="E24" s="214"/>
      <c r="F24" s="214"/>
    </row>
    <row r="25" spans="1:6" ht="15.75" x14ac:dyDescent="0.2">
      <c r="A25" s="220" t="s">
        <v>625</v>
      </c>
      <c r="B25" s="223" t="s">
        <v>632</v>
      </c>
      <c r="C25" s="131">
        <f>241408+1784</f>
        <v>243192</v>
      </c>
      <c r="D25" s="214"/>
      <c r="E25" s="214"/>
      <c r="F25" s="214"/>
    </row>
    <row r="26" spans="1:6" ht="30" x14ac:dyDescent="0.2">
      <c r="A26" s="220" t="s">
        <v>627</v>
      </c>
      <c r="B26" s="223" t="s">
        <v>633</v>
      </c>
      <c r="C26" s="131">
        <v>1169809</v>
      </c>
      <c r="D26" s="214"/>
      <c r="E26" s="214"/>
      <c r="F26" s="214"/>
    </row>
    <row r="27" spans="1:6" ht="15.75" x14ac:dyDescent="0.25">
      <c r="A27" s="220"/>
      <c r="B27" s="221" t="s">
        <v>629</v>
      </c>
      <c r="C27" s="222">
        <f>C25+C26</f>
        <v>1413001</v>
      </c>
      <c r="D27" s="225"/>
      <c r="E27" s="225"/>
      <c r="F27" s="225"/>
    </row>
    <row r="28" spans="1:6" ht="15.75" x14ac:dyDescent="0.25">
      <c r="A28" s="194"/>
      <c r="B28" s="194"/>
      <c r="C28" s="226"/>
      <c r="D28" s="214"/>
      <c r="E28" s="214"/>
      <c r="F28" s="214"/>
    </row>
    <row r="30" spans="1:6" ht="15.75" x14ac:dyDescent="0.25">
      <c r="A30" s="194"/>
      <c r="B30" s="194"/>
    </row>
    <row r="31" spans="1:6" ht="15.75" x14ac:dyDescent="0.25">
      <c r="A31" s="194"/>
      <c r="B31" s="194"/>
    </row>
  </sheetData>
  <mergeCells count="17">
    <mergeCell ref="B1:C1"/>
    <mergeCell ref="B2:C2"/>
    <mergeCell ref="B3:C3"/>
    <mergeCell ref="B6:C6"/>
    <mergeCell ref="A10:C10"/>
    <mergeCell ref="A12:C12"/>
    <mergeCell ref="A17:C17"/>
    <mergeCell ref="B7:C7"/>
    <mergeCell ref="B4:C4"/>
    <mergeCell ref="B5:C5"/>
    <mergeCell ref="A9:C9"/>
    <mergeCell ref="A11:C11"/>
    <mergeCell ref="B18:C18"/>
    <mergeCell ref="A13:C13"/>
    <mergeCell ref="A14:B14"/>
    <mergeCell ref="A15:C15"/>
    <mergeCell ref="A16:C16"/>
  </mergeCells>
  <phoneticPr fontId="2" type="noConversion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BJ1152"/>
  <sheetViews>
    <sheetView view="pageBreakPreview" topLeftCell="A1013" zoomScale="130" zoomScaleNormal="130" zoomScaleSheetLayoutView="130" workbookViewId="0">
      <selection activeCell="B3" sqref="B3:G3"/>
    </sheetView>
  </sheetViews>
  <sheetFormatPr defaultRowHeight="12.75" x14ac:dyDescent="0.2"/>
  <cols>
    <col min="1" max="1" width="74.7109375" style="2" customWidth="1"/>
    <col min="2" max="2" width="8.28515625" style="23" customWidth="1"/>
    <col min="3" max="3" width="7.7109375" style="23" customWidth="1"/>
    <col min="4" max="4" width="7" style="23" customWidth="1"/>
    <col min="5" max="5" width="13.42578125" style="23" customWidth="1"/>
    <col min="6" max="6" width="9" style="23" customWidth="1"/>
    <col min="7" max="7" width="14.140625" style="32" customWidth="1"/>
    <col min="8" max="62" width="9.140625" style="32"/>
  </cols>
  <sheetData>
    <row r="1" spans="1:7" ht="15" x14ac:dyDescent="0.25">
      <c r="A1" s="192"/>
      <c r="B1" s="232" t="s">
        <v>755</v>
      </c>
      <c r="C1" s="232"/>
      <c r="D1" s="232"/>
      <c r="E1" s="232"/>
      <c r="F1" s="232"/>
      <c r="G1" s="232"/>
    </row>
    <row r="2" spans="1:7" ht="15" x14ac:dyDescent="0.25">
      <c r="A2" s="192"/>
      <c r="B2" s="232" t="s">
        <v>609</v>
      </c>
      <c r="C2" s="232"/>
      <c r="D2" s="232"/>
      <c r="E2" s="232"/>
      <c r="F2" s="232"/>
      <c r="G2" s="232"/>
    </row>
    <row r="3" spans="1:7" ht="15" x14ac:dyDescent="0.25">
      <c r="A3" s="192"/>
      <c r="B3" s="232" t="s">
        <v>854</v>
      </c>
      <c r="C3" s="232"/>
      <c r="D3" s="232"/>
      <c r="E3" s="232"/>
      <c r="F3" s="232"/>
      <c r="G3" s="232"/>
    </row>
    <row r="4" spans="1:7" ht="15" x14ac:dyDescent="0.25">
      <c r="A4" s="192"/>
      <c r="B4" s="232" t="s">
        <v>602</v>
      </c>
      <c r="C4" s="232"/>
      <c r="D4" s="232"/>
      <c r="E4" s="232"/>
      <c r="F4" s="232"/>
      <c r="G4" s="232"/>
    </row>
    <row r="5" spans="1:7" ht="15" x14ac:dyDescent="0.25">
      <c r="A5" s="192"/>
      <c r="B5" s="232" t="s">
        <v>603</v>
      </c>
      <c r="C5" s="232"/>
      <c r="D5" s="232"/>
      <c r="E5" s="232"/>
      <c r="F5" s="232"/>
      <c r="G5" s="232"/>
    </row>
    <row r="6" spans="1:7" ht="15" x14ac:dyDescent="0.25">
      <c r="A6" s="232" t="s">
        <v>610</v>
      </c>
      <c r="B6" s="232"/>
      <c r="C6" s="232"/>
      <c r="D6" s="232"/>
      <c r="E6" s="232"/>
      <c r="F6" s="232"/>
      <c r="G6" s="232"/>
    </row>
    <row r="7" spans="1:7" ht="15" x14ac:dyDescent="0.25">
      <c r="A7" s="232" t="s">
        <v>604</v>
      </c>
      <c r="B7" s="232"/>
      <c r="C7" s="232"/>
      <c r="D7" s="232"/>
      <c r="E7" s="232"/>
      <c r="F7" s="232"/>
      <c r="G7" s="232"/>
    </row>
    <row r="10" spans="1:7" ht="15" x14ac:dyDescent="0.25">
      <c r="A10" s="232" t="s">
        <v>288</v>
      </c>
      <c r="B10" s="232"/>
      <c r="C10" s="232"/>
      <c r="D10" s="232"/>
      <c r="E10" s="232"/>
      <c r="F10" s="232"/>
      <c r="G10" s="232"/>
    </row>
    <row r="11" spans="1:7" ht="15" x14ac:dyDescent="0.25">
      <c r="A11" s="232" t="s">
        <v>608</v>
      </c>
      <c r="B11" s="232"/>
      <c r="C11" s="232"/>
      <c r="D11" s="232"/>
      <c r="E11" s="232"/>
      <c r="F11" s="232"/>
      <c r="G11" s="232"/>
    </row>
    <row r="12" spans="1:7" ht="15" x14ac:dyDescent="0.25">
      <c r="A12" s="232" t="s">
        <v>605</v>
      </c>
      <c r="B12" s="232"/>
      <c r="C12" s="232"/>
      <c r="D12" s="232"/>
      <c r="E12" s="232"/>
      <c r="F12" s="232"/>
      <c r="G12" s="232"/>
    </row>
    <row r="13" spans="1:7" ht="15" x14ac:dyDescent="0.25">
      <c r="A13" s="232" t="s">
        <v>606</v>
      </c>
      <c r="B13" s="232"/>
      <c r="C13" s="232"/>
      <c r="D13" s="232"/>
      <c r="E13" s="232"/>
      <c r="F13" s="232"/>
      <c r="G13" s="232"/>
    </row>
    <row r="14" spans="1:7" ht="15" x14ac:dyDescent="0.25">
      <c r="A14" s="232" t="s">
        <v>607</v>
      </c>
      <c r="B14" s="232"/>
      <c r="C14" s="232"/>
      <c r="D14" s="232"/>
      <c r="E14" s="232"/>
      <c r="F14" s="232"/>
      <c r="G14" s="232"/>
    </row>
    <row r="16" spans="1:7" ht="15.75" x14ac:dyDescent="0.25">
      <c r="A16" s="239"/>
      <c r="B16" s="239"/>
      <c r="C16" s="239"/>
      <c r="D16" s="239"/>
      <c r="E16" s="239"/>
      <c r="F16" s="239"/>
    </row>
    <row r="17" spans="1:7" ht="15.75" x14ac:dyDescent="0.25">
      <c r="A17" s="237" t="s">
        <v>267</v>
      </c>
      <c r="B17" s="237"/>
      <c r="C17" s="237"/>
      <c r="D17" s="237"/>
      <c r="E17" s="237"/>
      <c r="F17" s="237"/>
      <c r="G17" s="237"/>
    </row>
    <row r="18" spans="1:7" ht="15.75" x14ac:dyDescent="0.25">
      <c r="A18" s="60"/>
      <c r="B18" s="60"/>
      <c r="C18" s="60"/>
      <c r="D18" s="60"/>
      <c r="E18" s="60"/>
      <c r="F18" s="60"/>
    </row>
    <row r="19" spans="1:7" x14ac:dyDescent="0.2">
      <c r="A19" s="238" t="s">
        <v>802</v>
      </c>
      <c r="B19" s="238"/>
      <c r="C19" s="238"/>
      <c r="D19" s="238"/>
      <c r="E19" s="238"/>
      <c r="F19" s="238"/>
      <c r="G19" s="238"/>
    </row>
    <row r="20" spans="1:7" ht="38.25" x14ac:dyDescent="0.2">
      <c r="A20" s="3" t="s">
        <v>252</v>
      </c>
      <c r="B20" s="3" t="s">
        <v>695</v>
      </c>
      <c r="C20" s="3" t="s">
        <v>145</v>
      </c>
      <c r="D20" s="3" t="s">
        <v>144</v>
      </c>
      <c r="E20" s="3" t="s">
        <v>253</v>
      </c>
      <c r="F20" s="3" t="s">
        <v>696</v>
      </c>
      <c r="G20" s="69" t="s">
        <v>738</v>
      </c>
    </row>
    <row r="21" spans="1:7" ht="15.75" x14ac:dyDescent="0.2">
      <c r="A21" s="21" t="s">
        <v>255</v>
      </c>
      <c r="B21" s="22"/>
      <c r="C21" s="22"/>
      <c r="D21" s="22"/>
      <c r="E21" s="22"/>
      <c r="F21" s="22"/>
      <c r="G21" s="100">
        <f>G22+G233+G283+G333+G367+G441+G515+G588+G725+G818+G842+G874+G982+G1008</f>
        <v>5317425.016280001</v>
      </c>
    </row>
    <row r="22" spans="1:7" ht="15.75" x14ac:dyDescent="0.2">
      <c r="A22" s="79" t="s">
        <v>798</v>
      </c>
      <c r="B22" s="53">
        <v>598</v>
      </c>
      <c r="C22" s="53"/>
      <c r="D22" s="53"/>
      <c r="E22" s="53"/>
      <c r="F22" s="53"/>
      <c r="G22" s="57">
        <f>G23+G141+G156+G192+G217</f>
        <v>272716.99674999999</v>
      </c>
    </row>
    <row r="23" spans="1:7" x14ac:dyDescent="0.2">
      <c r="A23" s="80" t="s">
        <v>256</v>
      </c>
      <c r="B23" s="24">
        <v>598</v>
      </c>
      <c r="C23" s="24" t="s">
        <v>214</v>
      </c>
      <c r="D23" s="24" t="s">
        <v>215</v>
      </c>
      <c r="E23" s="24"/>
      <c r="F23" s="24"/>
      <c r="G23" s="42">
        <f>G24+G30+G48+G54+G43</f>
        <v>190477.4</v>
      </c>
    </row>
    <row r="24" spans="1:7" x14ac:dyDescent="0.2">
      <c r="A24" s="81" t="s">
        <v>212</v>
      </c>
      <c r="B24" s="25" t="s">
        <v>697</v>
      </c>
      <c r="C24" s="25" t="s">
        <v>214</v>
      </c>
      <c r="D24" s="25" t="s">
        <v>216</v>
      </c>
      <c r="E24" s="25" t="s">
        <v>379</v>
      </c>
      <c r="F24" s="25"/>
      <c r="G24" s="45">
        <f>G25</f>
        <v>1800</v>
      </c>
    </row>
    <row r="25" spans="1:7" x14ac:dyDescent="0.2">
      <c r="A25" s="82" t="s">
        <v>476</v>
      </c>
      <c r="B25" s="24" t="s">
        <v>697</v>
      </c>
      <c r="C25" s="24" t="s">
        <v>214</v>
      </c>
      <c r="D25" s="24" t="s">
        <v>216</v>
      </c>
      <c r="E25" s="24" t="s">
        <v>380</v>
      </c>
      <c r="F25" s="24"/>
      <c r="G25" s="42">
        <f>G26</f>
        <v>1800</v>
      </c>
    </row>
    <row r="26" spans="1:7" ht="24" x14ac:dyDescent="0.2">
      <c r="A26" s="83" t="s">
        <v>502</v>
      </c>
      <c r="B26" s="25">
        <v>598</v>
      </c>
      <c r="C26" s="25" t="s">
        <v>214</v>
      </c>
      <c r="D26" s="25" t="s">
        <v>216</v>
      </c>
      <c r="E26" s="25" t="s">
        <v>380</v>
      </c>
      <c r="F26" s="33"/>
      <c r="G26" s="45">
        <f>G27</f>
        <v>1800</v>
      </c>
    </row>
    <row r="27" spans="1:7" x14ac:dyDescent="0.2">
      <c r="A27" s="82" t="s">
        <v>475</v>
      </c>
      <c r="B27" s="24">
        <v>598</v>
      </c>
      <c r="C27" s="24" t="s">
        <v>214</v>
      </c>
      <c r="D27" s="24" t="s">
        <v>216</v>
      </c>
      <c r="E27" s="24" t="s">
        <v>381</v>
      </c>
      <c r="F27" s="24"/>
      <c r="G27" s="42">
        <f>G28</f>
        <v>1800</v>
      </c>
    </row>
    <row r="28" spans="1:7" ht="36" x14ac:dyDescent="0.2">
      <c r="A28" s="84" t="s">
        <v>217</v>
      </c>
      <c r="B28" s="30" t="s">
        <v>697</v>
      </c>
      <c r="C28" s="30" t="s">
        <v>214</v>
      </c>
      <c r="D28" s="30" t="s">
        <v>216</v>
      </c>
      <c r="E28" s="30" t="s">
        <v>381</v>
      </c>
      <c r="F28" s="30" t="s">
        <v>218</v>
      </c>
      <c r="G28" s="41">
        <f>G29</f>
        <v>1800</v>
      </c>
    </row>
    <row r="29" spans="1:7" x14ac:dyDescent="0.2">
      <c r="A29" s="84" t="s">
        <v>219</v>
      </c>
      <c r="B29" s="30" t="s">
        <v>697</v>
      </c>
      <c r="C29" s="30" t="s">
        <v>214</v>
      </c>
      <c r="D29" s="30" t="s">
        <v>216</v>
      </c>
      <c r="E29" s="30" t="s">
        <v>381</v>
      </c>
      <c r="F29" s="30" t="s">
        <v>224</v>
      </c>
      <c r="G29" s="41">
        <v>1800</v>
      </c>
    </row>
    <row r="30" spans="1:7" ht="24" customHeight="1" x14ac:dyDescent="0.2">
      <c r="A30" s="80" t="s">
        <v>501</v>
      </c>
      <c r="B30" s="24">
        <v>598</v>
      </c>
      <c r="C30" s="24" t="s">
        <v>214</v>
      </c>
      <c r="D30" s="24" t="s">
        <v>216</v>
      </c>
      <c r="E30" s="24"/>
      <c r="F30" s="24"/>
      <c r="G30" s="42">
        <f>G31</f>
        <v>81540</v>
      </c>
    </row>
    <row r="31" spans="1:7" x14ac:dyDescent="0.2">
      <c r="A31" s="81" t="s">
        <v>212</v>
      </c>
      <c r="B31" s="25" t="s">
        <v>697</v>
      </c>
      <c r="C31" s="25" t="s">
        <v>214</v>
      </c>
      <c r="D31" s="25" t="s">
        <v>216</v>
      </c>
      <c r="E31" s="25" t="s">
        <v>382</v>
      </c>
      <c r="F31" s="25"/>
      <c r="G31" s="45">
        <f>G32</f>
        <v>81540</v>
      </c>
    </row>
    <row r="32" spans="1:7" x14ac:dyDescent="0.2">
      <c r="A32" s="82" t="s">
        <v>476</v>
      </c>
      <c r="B32" s="24" t="s">
        <v>697</v>
      </c>
      <c r="C32" s="24" t="s">
        <v>214</v>
      </c>
      <c r="D32" s="24" t="s">
        <v>216</v>
      </c>
      <c r="E32" s="24" t="s">
        <v>383</v>
      </c>
      <c r="F32" s="25"/>
      <c r="G32" s="42">
        <f>G33+G38</f>
        <v>81540</v>
      </c>
    </row>
    <row r="33" spans="1:7" x14ac:dyDescent="0.2">
      <c r="A33" s="82" t="s">
        <v>138</v>
      </c>
      <c r="B33" s="24" t="s">
        <v>697</v>
      </c>
      <c r="C33" s="24" t="s">
        <v>214</v>
      </c>
      <c r="D33" s="24" t="s">
        <v>216</v>
      </c>
      <c r="E33" s="24" t="s">
        <v>384</v>
      </c>
      <c r="F33" s="24"/>
      <c r="G33" s="42">
        <f>G34+G36</f>
        <v>63500</v>
      </c>
    </row>
    <row r="34" spans="1:7" ht="36" x14ac:dyDescent="0.2">
      <c r="A34" s="84" t="s">
        <v>217</v>
      </c>
      <c r="B34" s="30" t="s">
        <v>697</v>
      </c>
      <c r="C34" s="30" t="s">
        <v>214</v>
      </c>
      <c r="D34" s="30" t="s">
        <v>216</v>
      </c>
      <c r="E34" s="30" t="s">
        <v>384</v>
      </c>
      <c r="F34" s="30" t="s">
        <v>218</v>
      </c>
      <c r="G34" s="41">
        <f>G35</f>
        <v>63278</v>
      </c>
    </row>
    <row r="35" spans="1:7" x14ac:dyDescent="0.2">
      <c r="A35" s="84" t="s">
        <v>219</v>
      </c>
      <c r="B35" s="30" t="s">
        <v>697</v>
      </c>
      <c r="C35" s="30" t="s">
        <v>214</v>
      </c>
      <c r="D35" s="30" t="s">
        <v>216</v>
      </c>
      <c r="E35" s="30" t="s">
        <v>384</v>
      </c>
      <c r="F35" s="30" t="s">
        <v>224</v>
      </c>
      <c r="G35" s="41">
        <f>63340-62</f>
        <v>63278</v>
      </c>
    </row>
    <row r="36" spans="1:7" x14ac:dyDescent="0.2">
      <c r="A36" s="84" t="s">
        <v>237</v>
      </c>
      <c r="B36" s="30" t="s">
        <v>697</v>
      </c>
      <c r="C36" s="30" t="s">
        <v>214</v>
      </c>
      <c r="D36" s="30" t="s">
        <v>216</v>
      </c>
      <c r="E36" s="30" t="s">
        <v>384</v>
      </c>
      <c r="F36" s="30" t="s">
        <v>236</v>
      </c>
      <c r="G36" s="41">
        <f>G37</f>
        <v>222</v>
      </c>
    </row>
    <row r="37" spans="1:7" x14ac:dyDescent="0.2">
      <c r="A37" s="84" t="s">
        <v>238</v>
      </c>
      <c r="B37" s="30" t="s">
        <v>697</v>
      </c>
      <c r="C37" s="30" t="s">
        <v>214</v>
      </c>
      <c r="D37" s="30" t="s">
        <v>216</v>
      </c>
      <c r="E37" s="30" t="s">
        <v>384</v>
      </c>
      <c r="F37" s="30" t="s">
        <v>239</v>
      </c>
      <c r="G37" s="41">
        <f>160+62</f>
        <v>222</v>
      </c>
    </row>
    <row r="38" spans="1:7" x14ac:dyDescent="0.2">
      <c r="A38" s="80" t="s">
        <v>225</v>
      </c>
      <c r="B38" s="24" t="s">
        <v>697</v>
      </c>
      <c r="C38" s="24" t="s">
        <v>214</v>
      </c>
      <c r="D38" s="24" t="s">
        <v>216</v>
      </c>
      <c r="E38" s="24" t="s">
        <v>385</v>
      </c>
      <c r="F38" s="24"/>
      <c r="G38" s="42">
        <f>G39+G41</f>
        <v>18040</v>
      </c>
    </row>
    <row r="39" spans="1:7" x14ac:dyDescent="0.2">
      <c r="A39" s="84" t="s">
        <v>473</v>
      </c>
      <c r="B39" s="30" t="s">
        <v>697</v>
      </c>
      <c r="C39" s="30" t="s">
        <v>214</v>
      </c>
      <c r="D39" s="30" t="s">
        <v>216</v>
      </c>
      <c r="E39" s="30" t="s">
        <v>385</v>
      </c>
      <c r="F39" s="30" t="s">
        <v>226</v>
      </c>
      <c r="G39" s="41">
        <f>G40</f>
        <v>16880</v>
      </c>
    </row>
    <row r="40" spans="1:7" ht="15" customHeight="1" x14ac:dyDescent="0.2">
      <c r="A40" s="84" t="s">
        <v>227</v>
      </c>
      <c r="B40" s="30" t="s">
        <v>697</v>
      </c>
      <c r="C40" s="30" t="s">
        <v>214</v>
      </c>
      <c r="D40" s="30" t="s">
        <v>216</v>
      </c>
      <c r="E40" s="30" t="s">
        <v>385</v>
      </c>
      <c r="F40" s="30" t="s">
        <v>228</v>
      </c>
      <c r="G40" s="41">
        <f>1700+850+9000+700+3732+848+550-500</f>
        <v>16880</v>
      </c>
    </row>
    <row r="41" spans="1:7" x14ac:dyDescent="0.2">
      <c r="A41" s="84" t="s">
        <v>229</v>
      </c>
      <c r="B41" s="30" t="s">
        <v>697</v>
      </c>
      <c r="C41" s="30" t="s">
        <v>214</v>
      </c>
      <c r="D41" s="30" t="s">
        <v>216</v>
      </c>
      <c r="E41" s="30" t="s">
        <v>385</v>
      </c>
      <c r="F41" s="30" t="s">
        <v>230</v>
      </c>
      <c r="G41" s="41">
        <f>G42</f>
        <v>1160</v>
      </c>
    </row>
    <row r="42" spans="1:7" x14ac:dyDescent="0.2">
      <c r="A42" s="84" t="s">
        <v>106</v>
      </c>
      <c r="B42" s="30" t="s">
        <v>697</v>
      </c>
      <c r="C42" s="30" t="s">
        <v>214</v>
      </c>
      <c r="D42" s="30" t="s">
        <v>216</v>
      </c>
      <c r="E42" s="30" t="s">
        <v>385</v>
      </c>
      <c r="F42" s="30" t="s">
        <v>231</v>
      </c>
      <c r="G42" s="41">
        <f>660+500</f>
        <v>1160</v>
      </c>
    </row>
    <row r="43" spans="1:7" x14ac:dyDescent="0.2">
      <c r="A43" s="61" t="s">
        <v>271</v>
      </c>
      <c r="B43" s="24" t="s">
        <v>697</v>
      </c>
      <c r="C43" s="24" t="s">
        <v>214</v>
      </c>
      <c r="D43" s="24" t="s">
        <v>824</v>
      </c>
      <c r="E43" s="24"/>
      <c r="F43" s="24"/>
      <c r="G43" s="42">
        <f>G44</f>
        <v>8877.4</v>
      </c>
    </row>
    <row r="44" spans="1:7" x14ac:dyDescent="0.2">
      <c r="A44" s="62" t="s">
        <v>275</v>
      </c>
      <c r="B44" s="25" t="s">
        <v>697</v>
      </c>
      <c r="C44" s="25" t="s">
        <v>214</v>
      </c>
      <c r="D44" s="25" t="s">
        <v>824</v>
      </c>
      <c r="E44" s="25" t="s">
        <v>382</v>
      </c>
      <c r="F44" s="25"/>
      <c r="G44" s="45">
        <f>G45</f>
        <v>8877.4</v>
      </c>
    </row>
    <row r="45" spans="1:7" x14ac:dyDescent="0.2">
      <c r="A45" s="61" t="s">
        <v>476</v>
      </c>
      <c r="B45" s="24" t="s">
        <v>697</v>
      </c>
      <c r="C45" s="24" t="s">
        <v>214</v>
      </c>
      <c r="D45" s="24" t="s">
        <v>824</v>
      </c>
      <c r="E45" s="24" t="s">
        <v>383</v>
      </c>
      <c r="F45" s="24"/>
      <c r="G45" s="42">
        <f>G46</f>
        <v>8877.4</v>
      </c>
    </row>
    <row r="46" spans="1:7" x14ac:dyDescent="0.2">
      <c r="A46" s="64" t="s">
        <v>229</v>
      </c>
      <c r="B46" s="30" t="s">
        <v>697</v>
      </c>
      <c r="C46" s="30" t="s">
        <v>214</v>
      </c>
      <c r="D46" s="30" t="s">
        <v>824</v>
      </c>
      <c r="E46" s="30" t="s">
        <v>546</v>
      </c>
      <c r="F46" s="30" t="s">
        <v>230</v>
      </c>
      <c r="G46" s="41">
        <f>G47</f>
        <v>8877.4</v>
      </c>
    </row>
    <row r="47" spans="1:7" x14ac:dyDescent="0.2">
      <c r="A47" s="64" t="s">
        <v>272</v>
      </c>
      <c r="B47" s="30" t="s">
        <v>697</v>
      </c>
      <c r="C47" s="30" t="s">
        <v>214</v>
      </c>
      <c r="D47" s="30" t="s">
        <v>824</v>
      </c>
      <c r="E47" s="30" t="s">
        <v>546</v>
      </c>
      <c r="F47" s="30" t="s">
        <v>273</v>
      </c>
      <c r="G47" s="41">
        <f>550+8327.4</f>
        <v>8877.4</v>
      </c>
    </row>
    <row r="48" spans="1:7" x14ac:dyDescent="0.2">
      <c r="A48" s="80" t="s">
        <v>508</v>
      </c>
      <c r="B48" s="24">
        <v>598</v>
      </c>
      <c r="C48" s="24" t="s">
        <v>214</v>
      </c>
      <c r="D48" s="24" t="s">
        <v>232</v>
      </c>
      <c r="E48" s="24"/>
      <c r="F48" s="24"/>
      <c r="G48" s="42">
        <f>G49</f>
        <v>1301</v>
      </c>
    </row>
    <row r="49" spans="1:7" s="48" customFormat="1" x14ac:dyDescent="0.2">
      <c r="A49" s="81" t="s">
        <v>212</v>
      </c>
      <c r="B49" s="25">
        <v>598</v>
      </c>
      <c r="C49" s="25" t="s">
        <v>214</v>
      </c>
      <c r="D49" s="25" t="s">
        <v>232</v>
      </c>
      <c r="E49" s="25" t="s">
        <v>382</v>
      </c>
      <c r="F49" s="25"/>
      <c r="G49" s="45">
        <f>G50</f>
        <v>1301</v>
      </c>
    </row>
    <row r="50" spans="1:7" s="48" customFormat="1" x14ac:dyDescent="0.2">
      <c r="A50" s="82" t="s">
        <v>476</v>
      </c>
      <c r="B50" s="24" t="s">
        <v>697</v>
      </c>
      <c r="C50" s="24" t="s">
        <v>214</v>
      </c>
      <c r="D50" s="24" t="s">
        <v>232</v>
      </c>
      <c r="E50" s="24" t="s">
        <v>383</v>
      </c>
      <c r="F50" s="24"/>
      <c r="G50" s="42">
        <f>G51</f>
        <v>1301</v>
      </c>
    </row>
    <row r="51" spans="1:7" s="49" customFormat="1" x14ac:dyDescent="0.2">
      <c r="A51" s="84" t="s">
        <v>233</v>
      </c>
      <c r="B51" s="30">
        <v>598</v>
      </c>
      <c r="C51" s="30" t="s">
        <v>214</v>
      </c>
      <c r="D51" s="30" t="s">
        <v>232</v>
      </c>
      <c r="E51" s="30" t="s">
        <v>512</v>
      </c>
      <c r="F51" s="30"/>
      <c r="G51" s="41">
        <f>G52</f>
        <v>1301</v>
      </c>
    </row>
    <row r="52" spans="1:7" s="49" customFormat="1" x14ac:dyDescent="0.2">
      <c r="A52" s="84" t="s">
        <v>229</v>
      </c>
      <c r="B52" s="30">
        <v>598</v>
      </c>
      <c r="C52" s="30" t="s">
        <v>214</v>
      </c>
      <c r="D52" s="30" t="s">
        <v>232</v>
      </c>
      <c r="E52" s="30" t="s">
        <v>512</v>
      </c>
      <c r="F52" s="30" t="s">
        <v>230</v>
      </c>
      <c r="G52" s="41">
        <f>G53</f>
        <v>1301</v>
      </c>
    </row>
    <row r="53" spans="1:7" s="49" customFormat="1" x14ac:dyDescent="0.2">
      <c r="A53" s="84" t="s">
        <v>234</v>
      </c>
      <c r="B53" s="30">
        <v>598</v>
      </c>
      <c r="C53" s="30" t="s">
        <v>214</v>
      </c>
      <c r="D53" s="30" t="s">
        <v>232</v>
      </c>
      <c r="E53" s="30" t="s">
        <v>512</v>
      </c>
      <c r="F53" s="30" t="s">
        <v>736</v>
      </c>
      <c r="G53" s="41">
        <f>3000-150-50-80-50-770-414-185</f>
        <v>1301</v>
      </c>
    </row>
    <row r="54" spans="1:7" x14ac:dyDescent="0.2">
      <c r="A54" s="80" t="s">
        <v>509</v>
      </c>
      <c r="B54" s="24" t="s">
        <v>697</v>
      </c>
      <c r="C54" s="24" t="s">
        <v>214</v>
      </c>
      <c r="D54" s="24" t="s">
        <v>235</v>
      </c>
      <c r="E54" s="24"/>
      <c r="F54" s="24"/>
      <c r="G54" s="42">
        <f>G55+G90+G137</f>
        <v>96959</v>
      </c>
    </row>
    <row r="55" spans="1:7" x14ac:dyDescent="0.2">
      <c r="A55" s="81" t="s">
        <v>212</v>
      </c>
      <c r="B55" s="25">
        <v>598</v>
      </c>
      <c r="C55" s="25" t="s">
        <v>214</v>
      </c>
      <c r="D55" s="25" t="s">
        <v>235</v>
      </c>
      <c r="E55" s="25" t="s">
        <v>382</v>
      </c>
      <c r="F55" s="25"/>
      <c r="G55" s="45">
        <f>G56</f>
        <v>76924</v>
      </c>
    </row>
    <row r="56" spans="1:7" x14ac:dyDescent="0.2">
      <c r="A56" s="80" t="s">
        <v>476</v>
      </c>
      <c r="B56" s="24" t="s">
        <v>697</v>
      </c>
      <c r="C56" s="24" t="s">
        <v>214</v>
      </c>
      <c r="D56" s="24" t="s">
        <v>235</v>
      </c>
      <c r="E56" s="24" t="s">
        <v>383</v>
      </c>
      <c r="F56" s="24"/>
      <c r="G56" s="42">
        <f>G57+G80+G83+G86</f>
        <v>76924</v>
      </c>
    </row>
    <row r="57" spans="1:7" x14ac:dyDescent="0.2">
      <c r="A57" s="85" t="s">
        <v>819</v>
      </c>
      <c r="B57" s="33" t="s">
        <v>697</v>
      </c>
      <c r="C57" s="33" t="s">
        <v>214</v>
      </c>
      <c r="D57" s="33" t="s">
        <v>235</v>
      </c>
      <c r="E57" s="33" t="s">
        <v>383</v>
      </c>
      <c r="F57" s="25"/>
      <c r="G57" s="101">
        <f>G58+G65+G77+G70</f>
        <v>51704</v>
      </c>
    </row>
    <row r="58" spans="1:7" ht="24" x14ac:dyDescent="0.2">
      <c r="A58" s="80" t="s">
        <v>346</v>
      </c>
      <c r="B58" s="24" t="s">
        <v>697</v>
      </c>
      <c r="C58" s="24" t="s">
        <v>214</v>
      </c>
      <c r="D58" s="24" t="s">
        <v>235</v>
      </c>
      <c r="E58" s="24" t="s">
        <v>513</v>
      </c>
      <c r="F58" s="24"/>
      <c r="G58" s="42">
        <f>G59+G61+G63</f>
        <v>40674</v>
      </c>
    </row>
    <row r="59" spans="1:7" ht="36" x14ac:dyDescent="0.2">
      <c r="A59" s="84" t="s">
        <v>217</v>
      </c>
      <c r="B59" s="30" t="s">
        <v>697</v>
      </c>
      <c r="C59" s="30" t="s">
        <v>214</v>
      </c>
      <c r="D59" s="30" t="s">
        <v>235</v>
      </c>
      <c r="E59" s="30" t="s">
        <v>513</v>
      </c>
      <c r="F59" s="30" t="s">
        <v>218</v>
      </c>
      <c r="G59" s="41">
        <f>G60</f>
        <v>31984</v>
      </c>
    </row>
    <row r="60" spans="1:7" x14ac:dyDescent="0.2">
      <c r="A60" s="84" t="s">
        <v>820</v>
      </c>
      <c r="B60" s="30" t="s">
        <v>697</v>
      </c>
      <c r="C60" s="30" t="s">
        <v>214</v>
      </c>
      <c r="D60" s="30" t="s">
        <v>235</v>
      </c>
      <c r="E60" s="30" t="s">
        <v>513</v>
      </c>
      <c r="F60" s="30" t="s">
        <v>821</v>
      </c>
      <c r="G60" s="41">
        <f>35644-460-2200-1000</f>
        <v>31984</v>
      </c>
    </row>
    <row r="61" spans="1:7" x14ac:dyDescent="0.2">
      <c r="A61" s="84" t="s">
        <v>473</v>
      </c>
      <c r="B61" s="30" t="s">
        <v>697</v>
      </c>
      <c r="C61" s="30" t="s">
        <v>214</v>
      </c>
      <c r="D61" s="30" t="s">
        <v>235</v>
      </c>
      <c r="E61" s="30" t="s">
        <v>513</v>
      </c>
      <c r="F61" s="30" t="s">
        <v>226</v>
      </c>
      <c r="G61" s="41">
        <f>G62</f>
        <v>8440</v>
      </c>
    </row>
    <row r="62" spans="1:7" ht="15" customHeight="1" x14ac:dyDescent="0.2">
      <c r="A62" s="84" t="s">
        <v>227</v>
      </c>
      <c r="B62" s="30" t="s">
        <v>697</v>
      </c>
      <c r="C62" s="30" t="s">
        <v>214</v>
      </c>
      <c r="D62" s="30" t="s">
        <v>235</v>
      </c>
      <c r="E62" s="30" t="s">
        <v>513</v>
      </c>
      <c r="F62" s="30" t="s">
        <v>228</v>
      </c>
      <c r="G62" s="41">
        <f>5780+460+2200</f>
        <v>8440</v>
      </c>
    </row>
    <row r="63" spans="1:7" x14ac:dyDescent="0.2">
      <c r="A63" s="84" t="s">
        <v>229</v>
      </c>
      <c r="B63" s="30" t="s">
        <v>697</v>
      </c>
      <c r="C63" s="30" t="s">
        <v>214</v>
      </c>
      <c r="D63" s="30" t="s">
        <v>235</v>
      </c>
      <c r="E63" s="30" t="s">
        <v>513</v>
      </c>
      <c r="F63" s="30" t="s">
        <v>230</v>
      </c>
      <c r="G63" s="41">
        <f>G64</f>
        <v>250</v>
      </c>
    </row>
    <row r="64" spans="1:7" x14ac:dyDescent="0.2">
      <c r="A64" s="84" t="s">
        <v>106</v>
      </c>
      <c r="B64" s="30" t="s">
        <v>697</v>
      </c>
      <c r="C64" s="30" t="s">
        <v>214</v>
      </c>
      <c r="D64" s="30" t="s">
        <v>235</v>
      </c>
      <c r="E64" s="30" t="s">
        <v>513</v>
      </c>
      <c r="F64" s="30" t="s">
        <v>231</v>
      </c>
      <c r="G64" s="41">
        <v>250</v>
      </c>
    </row>
    <row r="65" spans="1:7" x14ac:dyDescent="0.2">
      <c r="A65" s="80" t="s">
        <v>153</v>
      </c>
      <c r="B65" s="24" t="s">
        <v>697</v>
      </c>
      <c r="C65" s="24" t="s">
        <v>214</v>
      </c>
      <c r="D65" s="24" t="s">
        <v>235</v>
      </c>
      <c r="E65" s="24" t="s">
        <v>522</v>
      </c>
      <c r="F65" s="24"/>
      <c r="G65" s="42">
        <f>G66+G68</f>
        <v>925</v>
      </c>
    </row>
    <row r="66" spans="1:7" ht="36" x14ac:dyDescent="0.2">
      <c r="A66" s="84" t="s">
        <v>217</v>
      </c>
      <c r="B66" s="30" t="s">
        <v>697</v>
      </c>
      <c r="C66" s="30" t="s">
        <v>214</v>
      </c>
      <c r="D66" s="30" t="s">
        <v>235</v>
      </c>
      <c r="E66" s="30" t="s">
        <v>522</v>
      </c>
      <c r="F66" s="30" t="s">
        <v>218</v>
      </c>
      <c r="G66" s="41">
        <f>G67</f>
        <v>715</v>
      </c>
    </row>
    <row r="67" spans="1:7" x14ac:dyDescent="0.2">
      <c r="A67" s="84" t="s">
        <v>820</v>
      </c>
      <c r="B67" s="30" t="s">
        <v>697</v>
      </c>
      <c r="C67" s="30" t="s">
        <v>214</v>
      </c>
      <c r="D67" s="30" t="s">
        <v>235</v>
      </c>
      <c r="E67" s="30" t="s">
        <v>522</v>
      </c>
      <c r="F67" s="30" t="s">
        <v>821</v>
      </c>
      <c r="G67" s="41">
        <f>5650+145+1700-1500-5670+390</f>
        <v>715</v>
      </c>
    </row>
    <row r="68" spans="1:7" x14ac:dyDescent="0.2">
      <c r="A68" s="84" t="s">
        <v>237</v>
      </c>
      <c r="B68" s="30" t="s">
        <v>697</v>
      </c>
      <c r="C68" s="30" t="s">
        <v>214</v>
      </c>
      <c r="D68" s="30" t="s">
        <v>235</v>
      </c>
      <c r="E68" s="30" t="s">
        <v>522</v>
      </c>
      <c r="F68" s="30" t="s">
        <v>236</v>
      </c>
      <c r="G68" s="41">
        <f>G69</f>
        <v>210</v>
      </c>
    </row>
    <row r="69" spans="1:7" x14ac:dyDescent="0.2">
      <c r="A69" s="84" t="s">
        <v>238</v>
      </c>
      <c r="B69" s="30" t="s">
        <v>697</v>
      </c>
      <c r="C69" s="30" t="s">
        <v>214</v>
      </c>
      <c r="D69" s="30" t="s">
        <v>235</v>
      </c>
      <c r="E69" s="30" t="s">
        <v>522</v>
      </c>
      <c r="F69" s="30" t="s">
        <v>239</v>
      </c>
      <c r="G69" s="41">
        <f>600-390</f>
        <v>210</v>
      </c>
    </row>
    <row r="70" spans="1:7" x14ac:dyDescent="0.2">
      <c r="A70" s="80" t="s">
        <v>813</v>
      </c>
      <c r="B70" s="24" t="s">
        <v>697</v>
      </c>
      <c r="C70" s="24" t="s">
        <v>214</v>
      </c>
      <c r="D70" s="24" t="s">
        <v>235</v>
      </c>
      <c r="E70" s="24" t="s">
        <v>814</v>
      </c>
      <c r="F70" s="24"/>
      <c r="G70" s="42">
        <f>G71+G73+G75</f>
        <v>7755</v>
      </c>
    </row>
    <row r="71" spans="1:7" ht="36" x14ac:dyDescent="0.2">
      <c r="A71" s="84" t="s">
        <v>217</v>
      </c>
      <c r="B71" s="30" t="s">
        <v>697</v>
      </c>
      <c r="C71" s="30" t="s">
        <v>214</v>
      </c>
      <c r="D71" s="30" t="s">
        <v>235</v>
      </c>
      <c r="E71" s="30" t="s">
        <v>814</v>
      </c>
      <c r="F71" s="30" t="s">
        <v>218</v>
      </c>
      <c r="G71" s="41">
        <f>G72</f>
        <v>7570</v>
      </c>
    </row>
    <row r="72" spans="1:7" x14ac:dyDescent="0.2">
      <c r="A72" s="84" t="s">
        <v>820</v>
      </c>
      <c r="B72" s="30" t="s">
        <v>697</v>
      </c>
      <c r="C72" s="30" t="s">
        <v>214</v>
      </c>
      <c r="D72" s="30" t="s">
        <v>235</v>
      </c>
      <c r="E72" s="30" t="s">
        <v>814</v>
      </c>
      <c r="F72" s="30" t="s">
        <v>821</v>
      </c>
      <c r="G72" s="41">
        <f>5070+2500</f>
        <v>7570</v>
      </c>
    </row>
    <row r="73" spans="1:7" x14ac:dyDescent="0.2">
      <c r="A73" s="84" t="s">
        <v>473</v>
      </c>
      <c r="B73" s="30" t="s">
        <v>697</v>
      </c>
      <c r="C73" s="30" t="s">
        <v>214</v>
      </c>
      <c r="D73" s="30" t="s">
        <v>235</v>
      </c>
      <c r="E73" s="30" t="s">
        <v>814</v>
      </c>
      <c r="F73" s="30" t="s">
        <v>226</v>
      </c>
      <c r="G73" s="41">
        <f>G74</f>
        <v>170</v>
      </c>
    </row>
    <row r="74" spans="1:7" ht="15" customHeight="1" x14ac:dyDescent="0.2">
      <c r="A74" s="84" t="s">
        <v>227</v>
      </c>
      <c r="B74" s="30" t="s">
        <v>697</v>
      </c>
      <c r="C74" s="30" t="s">
        <v>214</v>
      </c>
      <c r="D74" s="30" t="s">
        <v>235</v>
      </c>
      <c r="E74" s="30" t="s">
        <v>814</v>
      </c>
      <c r="F74" s="30" t="s">
        <v>228</v>
      </c>
      <c r="G74" s="41">
        <f>270-100</f>
        <v>170</v>
      </c>
    </row>
    <row r="75" spans="1:7" x14ac:dyDescent="0.2">
      <c r="A75" s="84" t="s">
        <v>229</v>
      </c>
      <c r="B75" s="30" t="s">
        <v>697</v>
      </c>
      <c r="C75" s="30" t="s">
        <v>214</v>
      </c>
      <c r="D75" s="30" t="s">
        <v>235</v>
      </c>
      <c r="E75" s="30" t="s">
        <v>814</v>
      </c>
      <c r="F75" s="30" t="s">
        <v>230</v>
      </c>
      <c r="G75" s="41">
        <f>G76</f>
        <v>15</v>
      </c>
    </row>
    <row r="76" spans="1:7" x14ac:dyDescent="0.2">
      <c r="A76" s="84" t="s">
        <v>106</v>
      </c>
      <c r="B76" s="30" t="s">
        <v>697</v>
      </c>
      <c r="C76" s="30" t="s">
        <v>214</v>
      </c>
      <c r="D76" s="30" t="s">
        <v>235</v>
      </c>
      <c r="E76" s="30" t="s">
        <v>814</v>
      </c>
      <c r="F76" s="30" t="s">
        <v>231</v>
      </c>
      <c r="G76" s="41">
        <v>15</v>
      </c>
    </row>
    <row r="77" spans="1:7" ht="14.25" customHeight="1" x14ac:dyDescent="0.2">
      <c r="A77" s="80" t="s">
        <v>278</v>
      </c>
      <c r="B77" s="24" t="s">
        <v>697</v>
      </c>
      <c r="C77" s="24" t="s">
        <v>214</v>
      </c>
      <c r="D77" s="24" t="s">
        <v>235</v>
      </c>
      <c r="E77" s="24" t="s">
        <v>523</v>
      </c>
      <c r="F77" s="24"/>
      <c r="G77" s="42">
        <f>G78</f>
        <v>2350</v>
      </c>
    </row>
    <row r="78" spans="1:7" ht="24" x14ac:dyDescent="0.2">
      <c r="A78" s="84" t="s">
        <v>246</v>
      </c>
      <c r="B78" s="30" t="s">
        <v>697</v>
      </c>
      <c r="C78" s="30" t="s">
        <v>214</v>
      </c>
      <c r="D78" s="30" t="s">
        <v>235</v>
      </c>
      <c r="E78" s="30" t="s">
        <v>523</v>
      </c>
      <c r="F78" s="30" t="s">
        <v>702</v>
      </c>
      <c r="G78" s="41">
        <f>G79</f>
        <v>2350</v>
      </c>
    </row>
    <row r="79" spans="1:7" x14ac:dyDescent="0.2">
      <c r="A79" s="84" t="s">
        <v>247</v>
      </c>
      <c r="B79" s="30" t="s">
        <v>697</v>
      </c>
      <c r="C79" s="30" t="s">
        <v>214</v>
      </c>
      <c r="D79" s="30" t="s">
        <v>235</v>
      </c>
      <c r="E79" s="30" t="s">
        <v>523</v>
      </c>
      <c r="F79" s="30" t="s">
        <v>724</v>
      </c>
      <c r="G79" s="41">
        <f>1600+250+300+200</f>
        <v>2350</v>
      </c>
    </row>
    <row r="80" spans="1:7" ht="24" x14ac:dyDescent="0.2">
      <c r="A80" s="80" t="s">
        <v>280</v>
      </c>
      <c r="B80" s="24" t="s">
        <v>697</v>
      </c>
      <c r="C80" s="24" t="s">
        <v>214</v>
      </c>
      <c r="D80" s="24" t="s">
        <v>235</v>
      </c>
      <c r="E80" s="24" t="s">
        <v>180</v>
      </c>
      <c r="F80" s="24"/>
      <c r="G80" s="42">
        <f>G81</f>
        <v>21000</v>
      </c>
    </row>
    <row r="81" spans="1:7" x14ac:dyDescent="0.2">
      <c r="A81" s="84" t="s">
        <v>229</v>
      </c>
      <c r="B81" s="30" t="s">
        <v>697</v>
      </c>
      <c r="C81" s="30" t="s">
        <v>214</v>
      </c>
      <c r="D81" s="30" t="s">
        <v>235</v>
      </c>
      <c r="E81" s="30" t="s">
        <v>180</v>
      </c>
      <c r="F81" s="30" t="s">
        <v>230</v>
      </c>
      <c r="G81" s="41">
        <f>G82</f>
        <v>21000</v>
      </c>
    </row>
    <row r="82" spans="1:7" x14ac:dyDescent="0.2">
      <c r="A82" s="84" t="s">
        <v>106</v>
      </c>
      <c r="B82" s="30" t="s">
        <v>697</v>
      </c>
      <c r="C82" s="30" t="s">
        <v>214</v>
      </c>
      <c r="D82" s="30" t="s">
        <v>235</v>
      </c>
      <c r="E82" s="30" t="s">
        <v>180</v>
      </c>
      <c r="F82" s="30" t="s">
        <v>231</v>
      </c>
      <c r="G82" s="41">
        <f>28500+10000-2500-15000</f>
        <v>21000</v>
      </c>
    </row>
    <row r="83" spans="1:7" x14ac:dyDescent="0.2">
      <c r="A83" s="80" t="s">
        <v>281</v>
      </c>
      <c r="B83" s="24" t="s">
        <v>697</v>
      </c>
      <c r="C83" s="24" t="s">
        <v>214</v>
      </c>
      <c r="D83" s="24" t="s">
        <v>235</v>
      </c>
      <c r="E83" s="24" t="s">
        <v>282</v>
      </c>
      <c r="F83" s="24"/>
      <c r="G83" s="227">
        <f>G84</f>
        <v>0</v>
      </c>
    </row>
    <row r="84" spans="1:7" x14ac:dyDescent="0.2">
      <c r="A84" s="84" t="s">
        <v>229</v>
      </c>
      <c r="B84" s="30" t="s">
        <v>697</v>
      </c>
      <c r="C84" s="30" t="s">
        <v>214</v>
      </c>
      <c r="D84" s="30" t="s">
        <v>235</v>
      </c>
      <c r="E84" s="30" t="s">
        <v>282</v>
      </c>
      <c r="F84" s="30" t="s">
        <v>230</v>
      </c>
      <c r="G84" s="118">
        <f>G85</f>
        <v>0</v>
      </c>
    </row>
    <row r="85" spans="1:7" x14ac:dyDescent="0.2">
      <c r="A85" s="84" t="s">
        <v>106</v>
      </c>
      <c r="B85" s="30" t="s">
        <v>697</v>
      </c>
      <c r="C85" s="30" t="s">
        <v>214</v>
      </c>
      <c r="D85" s="30" t="s">
        <v>235</v>
      </c>
      <c r="E85" s="30" t="s">
        <v>282</v>
      </c>
      <c r="F85" s="30" t="s">
        <v>231</v>
      </c>
      <c r="G85" s="118">
        <f>11000-11000</f>
        <v>0</v>
      </c>
    </row>
    <row r="86" spans="1:7" x14ac:dyDescent="0.2">
      <c r="A86" s="80" t="s">
        <v>510</v>
      </c>
      <c r="B86" s="24" t="s">
        <v>697</v>
      </c>
      <c r="C86" s="24" t="s">
        <v>214</v>
      </c>
      <c r="D86" s="24" t="s">
        <v>235</v>
      </c>
      <c r="E86" s="43" t="s">
        <v>147</v>
      </c>
      <c r="F86" s="24"/>
      <c r="G86" s="117">
        <f>G87</f>
        <v>4220</v>
      </c>
    </row>
    <row r="87" spans="1:7" x14ac:dyDescent="0.2">
      <c r="A87" s="84" t="s">
        <v>229</v>
      </c>
      <c r="B87" s="30" t="s">
        <v>697</v>
      </c>
      <c r="C87" s="30" t="s">
        <v>214</v>
      </c>
      <c r="D87" s="30" t="s">
        <v>235</v>
      </c>
      <c r="E87" s="40" t="s">
        <v>147</v>
      </c>
      <c r="F87" s="30" t="s">
        <v>230</v>
      </c>
      <c r="G87" s="118">
        <f>G88+G89</f>
        <v>4220</v>
      </c>
    </row>
    <row r="88" spans="1:7" x14ac:dyDescent="0.2">
      <c r="A88" s="84" t="s">
        <v>306</v>
      </c>
      <c r="B88" s="30" t="s">
        <v>697</v>
      </c>
      <c r="C88" s="30" t="s">
        <v>214</v>
      </c>
      <c r="D88" s="30" t="s">
        <v>235</v>
      </c>
      <c r="E88" s="40" t="s">
        <v>147</v>
      </c>
      <c r="F88" s="30" t="s">
        <v>310</v>
      </c>
      <c r="G88" s="118">
        <f>2590+1620</f>
        <v>4210</v>
      </c>
    </row>
    <row r="89" spans="1:7" x14ac:dyDescent="0.2">
      <c r="A89" s="84" t="s">
        <v>106</v>
      </c>
      <c r="B89" s="30" t="s">
        <v>697</v>
      </c>
      <c r="C89" s="30" t="s">
        <v>214</v>
      </c>
      <c r="D89" s="30" t="s">
        <v>235</v>
      </c>
      <c r="E89" s="40" t="s">
        <v>147</v>
      </c>
      <c r="F89" s="30" t="s">
        <v>231</v>
      </c>
      <c r="G89" s="118">
        <v>10</v>
      </c>
    </row>
    <row r="90" spans="1:7" ht="27" x14ac:dyDescent="0.2">
      <c r="A90" s="86" t="s">
        <v>551</v>
      </c>
      <c r="B90" s="53" t="s">
        <v>697</v>
      </c>
      <c r="C90" s="53" t="s">
        <v>214</v>
      </c>
      <c r="D90" s="53" t="s">
        <v>235</v>
      </c>
      <c r="E90" s="59" t="s">
        <v>386</v>
      </c>
      <c r="F90" s="58"/>
      <c r="G90" s="57">
        <f>G91+G95+G120+G127</f>
        <v>18315</v>
      </c>
    </row>
    <row r="91" spans="1:7" ht="40.5" x14ac:dyDescent="0.2">
      <c r="A91" s="98" t="s">
        <v>337</v>
      </c>
      <c r="B91" s="53" t="s">
        <v>697</v>
      </c>
      <c r="C91" s="53" t="s">
        <v>214</v>
      </c>
      <c r="D91" s="53" t="s">
        <v>235</v>
      </c>
      <c r="E91" s="93" t="s">
        <v>338</v>
      </c>
      <c r="F91" s="58"/>
      <c r="G91" s="57">
        <f>G92</f>
        <v>3500</v>
      </c>
    </row>
    <row r="92" spans="1:7" ht="24" x14ac:dyDescent="0.2">
      <c r="A92" s="75" t="s">
        <v>339</v>
      </c>
      <c r="B92" s="24" t="s">
        <v>697</v>
      </c>
      <c r="C92" s="24" t="s">
        <v>214</v>
      </c>
      <c r="D92" s="24" t="s">
        <v>235</v>
      </c>
      <c r="E92" s="43" t="s">
        <v>279</v>
      </c>
      <c r="F92" s="37"/>
      <c r="G92" s="117">
        <f>G93</f>
        <v>3500</v>
      </c>
    </row>
    <row r="93" spans="1:7" x14ac:dyDescent="0.2">
      <c r="A93" s="84" t="s">
        <v>473</v>
      </c>
      <c r="B93" s="30" t="s">
        <v>697</v>
      </c>
      <c r="C93" s="30" t="s">
        <v>214</v>
      </c>
      <c r="D93" s="30" t="s">
        <v>235</v>
      </c>
      <c r="E93" s="40" t="s">
        <v>279</v>
      </c>
      <c r="F93" s="31">
        <v>200</v>
      </c>
      <c r="G93" s="118">
        <f>G94</f>
        <v>3500</v>
      </c>
    </row>
    <row r="94" spans="1:7" ht="15" customHeight="1" x14ac:dyDescent="0.2">
      <c r="A94" s="84" t="s">
        <v>227</v>
      </c>
      <c r="B94" s="30" t="s">
        <v>697</v>
      </c>
      <c r="C94" s="30" t="s">
        <v>214</v>
      </c>
      <c r="D94" s="30" t="s">
        <v>235</v>
      </c>
      <c r="E94" s="40" t="s">
        <v>279</v>
      </c>
      <c r="F94" s="31">
        <v>240</v>
      </c>
      <c r="G94" s="118">
        <f>2000+1500</f>
        <v>3500</v>
      </c>
    </row>
    <row r="95" spans="1:7" ht="27" x14ac:dyDescent="0.2">
      <c r="A95" s="98" t="s">
        <v>181</v>
      </c>
      <c r="B95" s="53" t="s">
        <v>697</v>
      </c>
      <c r="C95" s="53" t="s">
        <v>214</v>
      </c>
      <c r="D95" s="53" t="s">
        <v>235</v>
      </c>
      <c r="E95" s="93" t="s">
        <v>420</v>
      </c>
      <c r="F95" s="58"/>
      <c r="G95" s="57">
        <f>G96+G99++G102+G105+G108+G111+G114+G117</f>
        <v>4566</v>
      </c>
    </row>
    <row r="96" spans="1:7" ht="24" x14ac:dyDescent="0.2">
      <c r="A96" s="75" t="s">
        <v>154</v>
      </c>
      <c r="B96" s="24" t="s">
        <v>697</v>
      </c>
      <c r="C96" s="24" t="s">
        <v>214</v>
      </c>
      <c r="D96" s="24" t="s">
        <v>235</v>
      </c>
      <c r="E96" s="43" t="s">
        <v>182</v>
      </c>
      <c r="F96" s="37"/>
      <c r="G96" s="42">
        <f>G97</f>
        <v>146</v>
      </c>
    </row>
    <row r="97" spans="1:7" x14ac:dyDescent="0.2">
      <c r="A97" s="84" t="s">
        <v>473</v>
      </c>
      <c r="B97" s="30" t="s">
        <v>697</v>
      </c>
      <c r="C97" s="30" t="s">
        <v>214</v>
      </c>
      <c r="D97" s="30" t="s">
        <v>235</v>
      </c>
      <c r="E97" s="40" t="s">
        <v>182</v>
      </c>
      <c r="F97" s="31">
        <v>200</v>
      </c>
      <c r="G97" s="41">
        <f>G98</f>
        <v>146</v>
      </c>
    </row>
    <row r="98" spans="1:7" ht="15" customHeight="1" x14ac:dyDescent="0.2">
      <c r="A98" s="84" t="s">
        <v>227</v>
      </c>
      <c r="B98" s="30" t="s">
        <v>697</v>
      </c>
      <c r="C98" s="30" t="s">
        <v>214</v>
      </c>
      <c r="D98" s="30" t="s">
        <v>235</v>
      </c>
      <c r="E98" s="40" t="s">
        <v>182</v>
      </c>
      <c r="F98" s="31">
        <v>240</v>
      </c>
      <c r="G98" s="41">
        <f>1928-1782</f>
        <v>146</v>
      </c>
    </row>
    <row r="99" spans="1:7" ht="24" x14ac:dyDescent="0.2">
      <c r="A99" s="75" t="s">
        <v>155</v>
      </c>
      <c r="B99" s="24" t="s">
        <v>697</v>
      </c>
      <c r="C99" s="24" t="s">
        <v>214</v>
      </c>
      <c r="D99" s="24" t="s">
        <v>235</v>
      </c>
      <c r="E99" s="43" t="s">
        <v>183</v>
      </c>
      <c r="F99" s="31"/>
      <c r="G99" s="42">
        <f>G100</f>
        <v>420</v>
      </c>
    </row>
    <row r="100" spans="1:7" x14ac:dyDescent="0.2">
      <c r="A100" s="84" t="s">
        <v>473</v>
      </c>
      <c r="B100" s="30" t="s">
        <v>697</v>
      </c>
      <c r="C100" s="30" t="s">
        <v>214</v>
      </c>
      <c r="D100" s="30" t="s">
        <v>235</v>
      </c>
      <c r="E100" s="40" t="s">
        <v>183</v>
      </c>
      <c r="F100" s="31">
        <v>200</v>
      </c>
      <c r="G100" s="41">
        <f>G101</f>
        <v>420</v>
      </c>
    </row>
    <row r="101" spans="1:7" ht="15" customHeight="1" x14ac:dyDescent="0.2">
      <c r="A101" s="84" t="s">
        <v>227</v>
      </c>
      <c r="B101" s="30" t="s">
        <v>697</v>
      </c>
      <c r="C101" s="30" t="s">
        <v>214</v>
      </c>
      <c r="D101" s="30" t="s">
        <v>235</v>
      </c>
      <c r="E101" s="40" t="s">
        <v>183</v>
      </c>
      <c r="F101" s="31">
        <v>240</v>
      </c>
      <c r="G101" s="41">
        <f>340+80</f>
        <v>420</v>
      </c>
    </row>
    <row r="102" spans="1:7" ht="36" x14ac:dyDescent="0.2">
      <c r="A102" s="75" t="s">
        <v>156</v>
      </c>
      <c r="B102" s="24" t="s">
        <v>697</v>
      </c>
      <c r="C102" s="24" t="s">
        <v>214</v>
      </c>
      <c r="D102" s="24" t="s">
        <v>235</v>
      </c>
      <c r="E102" s="43" t="s">
        <v>184</v>
      </c>
      <c r="F102" s="31"/>
      <c r="G102" s="42">
        <f>G103</f>
        <v>500</v>
      </c>
    </row>
    <row r="103" spans="1:7" x14ac:dyDescent="0.2">
      <c r="A103" s="84" t="s">
        <v>473</v>
      </c>
      <c r="B103" s="30" t="s">
        <v>697</v>
      </c>
      <c r="C103" s="30" t="s">
        <v>214</v>
      </c>
      <c r="D103" s="30" t="s">
        <v>235</v>
      </c>
      <c r="E103" s="40" t="s">
        <v>184</v>
      </c>
      <c r="F103" s="31">
        <v>200</v>
      </c>
      <c r="G103" s="41">
        <f>G104</f>
        <v>500</v>
      </c>
    </row>
    <row r="104" spans="1:7" ht="15" customHeight="1" x14ac:dyDescent="0.2">
      <c r="A104" s="84" t="s">
        <v>227</v>
      </c>
      <c r="B104" s="30" t="s">
        <v>697</v>
      </c>
      <c r="C104" s="30" t="s">
        <v>214</v>
      </c>
      <c r="D104" s="30" t="s">
        <v>235</v>
      </c>
      <c r="E104" s="40" t="s">
        <v>184</v>
      </c>
      <c r="F104" s="31">
        <v>240</v>
      </c>
      <c r="G104" s="41">
        <f>385+115</f>
        <v>500</v>
      </c>
    </row>
    <row r="105" spans="1:7" x14ac:dyDescent="0.2">
      <c r="A105" s="75" t="s">
        <v>157</v>
      </c>
      <c r="B105" s="24" t="s">
        <v>697</v>
      </c>
      <c r="C105" s="24" t="s">
        <v>214</v>
      </c>
      <c r="D105" s="24" t="s">
        <v>235</v>
      </c>
      <c r="E105" s="43" t="s">
        <v>185</v>
      </c>
      <c r="F105" s="31"/>
      <c r="G105" s="42">
        <f>G106</f>
        <v>320</v>
      </c>
    </row>
    <row r="106" spans="1:7" x14ac:dyDescent="0.2">
      <c r="A106" s="84" t="s">
        <v>473</v>
      </c>
      <c r="B106" s="30" t="s">
        <v>697</v>
      </c>
      <c r="C106" s="30" t="s">
        <v>214</v>
      </c>
      <c r="D106" s="30" t="s">
        <v>235</v>
      </c>
      <c r="E106" s="40" t="s">
        <v>185</v>
      </c>
      <c r="F106" s="31">
        <v>200</v>
      </c>
      <c r="G106" s="41">
        <f>G107</f>
        <v>320</v>
      </c>
    </row>
    <row r="107" spans="1:7" ht="15" customHeight="1" x14ac:dyDescent="0.2">
      <c r="A107" s="84" t="s">
        <v>227</v>
      </c>
      <c r="B107" s="30" t="s">
        <v>697</v>
      </c>
      <c r="C107" s="30" t="s">
        <v>214</v>
      </c>
      <c r="D107" s="30" t="s">
        <v>235</v>
      </c>
      <c r="E107" s="40" t="s">
        <v>185</v>
      </c>
      <c r="F107" s="31">
        <v>240</v>
      </c>
      <c r="G107" s="41">
        <v>320</v>
      </c>
    </row>
    <row r="108" spans="1:7" ht="14.25" customHeight="1" x14ac:dyDescent="0.2">
      <c r="A108" s="75" t="s">
        <v>158</v>
      </c>
      <c r="B108" s="24" t="s">
        <v>697</v>
      </c>
      <c r="C108" s="24" t="s">
        <v>214</v>
      </c>
      <c r="D108" s="24" t="s">
        <v>235</v>
      </c>
      <c r="E108" s="43" t="s">
        <v>186</v>
      </c>
      <c r="F108" s="31"/>
      <c r="G108" s="42">
        <f>G109</f>
        <v>823</v>
      </c>
    </row>
    <row r="109" spans="1:7" x14ac:dyDescent="0.2">
      <c r="A109" s="84" t="s">
        <v>473</v>
      </c>
      <c r="B109" s="30" t="s">
        <v>697</v>
      </c>
      <c r="C109" s="30" t="s">
        <v>214</v>
      </c>
      <c r="D109" s="30" t="s">
        <v>235</v>
      </c>
      <c r="E109" s="40" t="s">
        <v>186</v>
      </c>
      <c r="F109" s="31">
        <v>200</v>
      </c>
      <c r="G109" s="41">
        <f>G110</f>
        <v>823</v>
      </c>
    </row>
    <row r="110" spans="1:7" ht="15" customHeight="1" x14ac:dyDescent="0.2">
      <c r="A110" s="84" t="s">
        <v>227</v>
      </c>
      <c r="B110" s="30" t="s">
        <v>697</v>
      </c>
      <c r="C110" s="30" t="s">
        <v>214</v>
      </c>
      <c r="D110" s="30" t="s">
        <v>235</v>
      </c>
      <c r="E110" s="40" t="s">
        <v>186</v>
      </c>
      <c r="F110" s="31">
        <v>240</v>
      </c>
      <c r="G110" s="41">
        <v>823</v>
      </c>
    </row>
    <row r="111" spans="1:7" x14ac:dyDescent="0.2">
      <c r="A111" s="75" t="s">
        <v>424</v>
      </c>
      <c r="B111" s="24" t="s">
        <v>697</v>
      </c>
      <c r="C111" s="24" t="s">
        <v>214</v>
      </c>
      <c r="D111" s="24" t="s">
        <v>235</v>
      </c>
      <c r="E111" s="43" t="s">
        <v>187</v>
      </c>
      <c r="F111" s="31"/>
      <c r="G111" s="42">
        <f>G112</f>
        <v>1017</v>
      </c>
    </row>
    <row r="112" spans="1:7" x14ac:dyDescent="0.2">
      <c r="A112" s="84" t="s">
        <v>473</v>
      </c>
      <c r="B112" s="30" t="s">
        <v>697</v>
      </c>
      <c r="C112" s="30" t="s">
        <v>214</v>
      </c>
      <c r="D112" s="30" t="s">
        <v>235</v>
      </c>
      <c r="E112" s="40" t="s">
        <v>187</v>
      </c>
      <c r="F112" s="31">
        <v>200</v>
      </c>
      <c r="G112" s="41">
        <f>G113</f>
        <v>1017</v>
      </c>
    </row>
    <row r="113" spans="1:7" ht="15" customHeight="1" x14ac:dyDescent="0.2">
      <c r="A113" s="84" t="s">
        <v>227</v>
      </c>
      <c r="B113" s="30" t="s">
        <v>697</v>
      </c>
      <c r="C113" s="30" t="s">
        <v>214</v>
      </c>
      <c r="D113" s="30" t="s">
        <v>235</v>
      </c>
      <c r="E113" s="40" t="s">
        <v>187</v>
      </c>
      <c r="F113" s="31">
        <v>240</v>
      </c>
      <c r="G113" s="41">
        <v>1017</v>
      </c>
    </row>
    <row r="114" spans="1:7" x14ac:dyDescent="0.2">
      <c r="A114" s="80" t="s">
        <v>159</v>
      </c>
      <c r="B114" s="24" t="s">
        <v>697</v>
      </c>
      <c r="C114" s="24" t="s">
        <v>214</v>
      </c>
      <c r="D114" s="24" t="s">
        <v>235</v>
      </c>
      <c r="E114" s="43" t="s">
        <v>188</v>
      </c>
      <c r="F114" s="31"/>
      <c r="G114" s="42">
        <f>G115</f>
        <v>1210</v>
      </c>
    </row>
    <row r="115" spans="1:7" x14ac:dyDescent="0.2">
      <c r="A115" s="84" t="s">
        <v>473</v>
      </c>
      <c r="B115" s="30" t="s">
        <v>697</v>
      </c>
      <c r="C115" s="30" t="s">
        <v>214</v>
      </c>
      <c r="D115" s="30" t="s">
        <v>235</v>
      </c>
      <c r="E115" s="40" t="s">
        <v>188</v>
      </c>
      <c r="F115" s="31">
        <v>200</v>
      </c>
      <c r="G115" s="41">
        <f>G116</f>
        <v>1210</v>
      </c>
    </row>
    <row r="116" spans="1:7" ht="15" customHeight="1" x14ac:dyDescent="0.2">
      <c r="A116" s="84" t="s">
        <v>227</v>
      </c>
      <c r="B116" s="30" t="s">
        <v>697</v>
      </c>
      <c r="C116" s="30" t="s">
        <v>214</v>
      </c>
      <c r="D116" s="30" t="s">
        <v>235</v>
      </c>
      <c r="E116" s="40" t="s">
        <v>188</v>
      </c>
      <c r="F116" s="31">
        <v>240</v>
      </c>
      <c r="G116" s="41">
        <v>1210</v>
      </c>
    </row>
    <row r="117" spans="1:7" ht="24" x14ac:dyDescent="0.2">
      <c r="A117" s="80" t="s">
        <v>421</v>
      </c>
      <c r="B117" s="24" t="s">
        <v>697</v>
      </c>
      <c r="C117" s="24" t="s">
        <v>214</v>
      </c>
      <c r="D117" s="24" t="s">
        <v>235</v>
      </c>
      <c r="E117" s="43" t="s">
        <v>189</v>
      </c>
      <c r="F117" s="37"/>
      <c r="G117" s="42">
        <f>G118</f>
        <v>130</v>
      </c>
    </row>
    <row r="118" spans="1:7" x14ac:dyDescent="0.2">
      <c r="A118" s="84" t="s">
        <v>473</v>
      </c>
      <c r="B118" s="30" t="s">
        <v>697</v>
      </c>
      <c r="C118" s="30" t="s">
        <v>214</v>
      </c>
      <c r="D118" s="30" t="s">
        <v>235</v>
      </c>
      <c r="E118" s="40" t="s">
        <v>189</v>
      </c>
      <c r="F118" s="31">
        <v>200</v>
      </c>
      <c r="G118" s="41">
        <f>G119</f>
        <v>130</v>
      </c>
    </row>
    <row r="119" spans="1:7" ht="15" customHeight="1" x14ac:dyDescent="0.2">
      <c r="A119" s="84" t="s">
        <v>227</v>
      </c>
      <c r="B119" s="30" t="s">
        <v>697</v>
      </c>
      <c r="C119" s="30" t="s">
        <v>214</v>
      </c>
      <c r="D119" s="30" t="s">
        <v>235</v>
      </c>
      <c r="E119" s="40" t="s">
        <v>189</v>
      </c>
      <c r="F119" s="31">
        <v>240</v>
      </c>
      <c r="G119" s="41">
        <v>130</v>
      </c>
    </row>
    <row r="120" spans="1:7" ht="13.5" x14ac:dyDescent="0.2">
      <c r="A120" s="86" t="s">
        <v>160</v>
      </c>
      <c r="B120" s="53" t="s">
        <v>697</v>
      </c>
      <c r="C120" s="53" t="s">
        <v>214</v>
      </c>
      <c r="D120" s="53" t="s">
        <v>235</v>
      </c>
      <c r="E120" s="93" t="s">
        <v>161</v>
      </c>
      <c r="F120" s="58"/>
      <c r="G120" s="57">
        <f>G121+G124</f>
        <v>1584</v>
      </c>
    </row>
    <row r="121" spans="1:7" x14ac:dyDescent="0.2">
      <c r="A121" s="80" t="s">
        <v>422</v>
      </c>
      <c r="B121" s="24" t="s">
        <v>697</v>
      </c>
      <c r="C121" s="24" t="s">
        <v>214</v>
      </c>
      <c r="D121" s="24" t="s">
        <v>235</v>
      </c>
      <c r="E121" s="24" t="s">
        <v>190</v>
      </c>
      <c r="F121" s="37"/>
      <c r="G121" s="42">
        <f>G122</f>
        <v>204</v>
      </c>
    </row>
    <row r="122" spans="1:7" x14ac:dyDescent="0.2">
      <c r="A122" s="84" t="s">
        <v>473</v>
      </c>
      <c r="B122" s="30" t="s">
        <v>697</v>
      </c>
      <c r="C122" s="30" t="s">
        <v>214</v>
      </c>
      <c r="D122" s="30" t="s">
        <v>235</v>
      </c>
      <c r="E122" s="40" t="s">
        <v>190</v>
      </c>
      <c r="F122" s="31">
        <v>200</v>
      </c>
      <c r="G122" s="41">
        <f>G123</f>
        <v>204</v>
      </c>
    </row>
    <row r="123" spans="1:7" ht="15" customHeight="1" x14ac:dyDescent="0.2">
      <c r="A123" s="84" t="s">
        <v>227</v>
      </c>
      <c r="B123" s="30" t="s">
        <v>697</v>
      </c>
      <c r="C123" s="30" t="s">
        <v>214</v>
      </c>
      <c r="D123" s="30" t="s">
        <v>235</v>
      </c>
      <c r="E123" s="40" t="s">
        <v>190</v>
      </c>
      <c r="F123" s="31">
        <v>240</v>
      </c>
      <c r="G123" s="41">
        <f>367-163</f>
        <v>204</v>
      </c>
    </row>
    <row r="124" spans="1:7" ht="12.75" customHeight="1" x14ac:dyDescent="0.2">
      <c r="A124" s="75" t="s">
        <v>162</v>
      </c>
      <c r="B124" s="24" t="s">
        <v>697</v>
      </c>
      <c r="C124" s="24" t="s">
        <v>214</v>
      </c>
      <c r="D124" s="24" t="s">
        <v>235</v>
      </c>
      <c r="E124" s="24" t="s">
        <v>191</v>
      </c>
      <c r="F124" s="37"/>
      <c r="G124" s="42">
        <f>G125</f>
        <v>1380</v>
      </c>
    </row>
    <row r="125" spans="1:7" x14ac:dyDescent="0.2">
      <c r="A125" s="84" t="s">
        <v>473</v>
      </c>
      <c r="B125" s="30" t="s">
        <v>697</v>
      </c>
      <c r="C125" s="30" t="s">
        <v>214</v>
      </c>
      <c r="D125" s="30" t="s">
        <v>235</v>
      </c>
      <c r="E125" s="40" t="s">
        <v>191</v>
      </c>
      <c r="F125" s="31">
        <v>200</v>
      </c>
      <c r="G125" s="41">
        <f>G126</f>
        <v>1380</v>
      </c>
    </row>
    <row r="126" spans="1:7" ht="15" customHeight="1" x14ac:dyDescent="0.2">
      <c r="A126" s="84" t="s">
        <v>227</v>
      </c>
      <c r="B126" s="30" t="s">
        <v>697</v>
      </c>
      <c r="C126" s="30" t="s">
        <v>214</v>
      </c>
      <c r="D126" s="30" t="s">
        <v>235</v>
      </c>
      <c r="E126" s="40" t="s">
        <v>191</v>
      </c>
      <c r="F126" s="31">
        <v>240</v>
      </c>
      <c r="G126" s="41">
        <f>480+900</f>
        <v>1380</v>
      </c>
    </row>
    <row r="127" spans="1:7" ht="27" x14ac:dyDescent="0.2">
      <c r="A127" s="86" t="s">
        <v>781</v>
      </c>
      <c r="B127" s="53" t="s">
        <v>697</v>
      </c>
      <c r="C127" s="53" t="s">
        <v>214</v>
      </c>
      <c r="D127" s="53" t="s">
        <v>235</v>
      </c>
      <c r="E127" s="93" t="s">
        <v>780</v>
      </c>
      <c r="F127" s="58"/>
      <c r="G127" s="57">
        <f>G128+G131+G134</f>
        <v>8665</v>
      </c>
    </row>
    <row r="128" spans="1:7" ht="24" x14ac:dyDescent="0.2">
      <c r="A128" s="80" t="s">
        <v>782</v>
      </c>
      <c r="B128" s="24" t="s">
        <v>697</v>
      </c>
      <c r="C128" s="24" t="s">
        <v>214</v>
      </c>
      <c r="D128" s="24" t="s">
        <v>235</v>
      </c>
      <c r="E128" s="43" t="s">
        <v>783</v>
      </c>
      <c r="F128" s="37"/>
      <c r="G128" s="42">
        <f>G129</f>
        <v>80</v>
      </c>
    </row>
    <row r="129" spans="1:7" x14ac:dyDescent="0.2">
      <c r="A129" s="84" t="s">
        <v>473</v>
      </c>
      <c r="B129" s="30" t="s">
        <v>697</v>
      </c>
      <c r="C129" s="30" t="s">
        <v>214</v>
      </c>
      <c r="D129" s="30" t="s">
        <v>235</v>
      </c>
      <c r="E129" s="40" t="s">
        <v>783</v>
      </c>
      <c r="F129" s="31">
        <v>200</v>
      </c>
      <c r="G129" s="41">
        <f>G130</f>
        <v>80</v>
      </c>
    </row>
    <row r="130" spans="1:7" ht="15" customHeight="1" x14ac:dyDescent="0.2">
      <c r="A130" s="84" t="s">
        <v>227</v>
      </c>
      <c r="B130" s="30" t="s">
        <v>697</v>
      </c>
      <c r="C130" s="30" t="s">
        <v>214</v>
      </c>
      <c r="D130" s="30" t="s">
        <v>235</v>
      </c>
      <c r="E130" s="40" t="s">
        <v>783</v>
      </c>
      <c r="F130" s="31">
        <v>240</v>
      </c>
      <c r="G130" s="41">
        <v>80</v>
      </c>
    </row>
    <row r="131" spans="1:7" ht="24" x14ac:dyDescent="0.2">
      <c r="A131" s="80" t="s">
        <v>784</v>
      </c>
      <c r="B131" s="24" t="s">
        <v>697</v>
      </c>
      <c r="C131" s="24" t="s">
        <v>214</v>
      </c>
      <c r="D131" s="24" t="s">
        <v>235</v>
      </c>
      <c r="E131" s="43" t="s">
        <v>785</v>
      </c>
      <c r="F131" s="37"/>
      <c r="G131" s="42">
        <f>G132</f>
        <v>4165</v>
      </c>
    </row>
    <row r="132" spans="1:7" x14ac:dyDescent="0.2">
      <c r="A132" s="84" t="s">
        <v>473</v>
      </c>
      <c r="B132" s="30" t="s">
        <v>697</v>
      </c>
      <c r="C132" s="30" t="s">
        <v>214</v>
      </c>
      <c r="D132" s="30" t="s">
        <v>235</v>
      </c>
      <c r="E132" s="40" t="s">
        <v>785</v>
      </c>
      <c r="F132" s="31">
        <v>200</v>
      </c>
      <c r="G132" s="41">
        <f>G133</f>
        <v>4165</v>
      </c>
    </row>
    <row r="133" spans="1:7" ht="15" customHeight="1" x14ac:dyDescent="0.2">
      <c r="A133" s="84" t="s">
        <v>227</v>
      </c>
      <c r="B133" s="30" t="s">
        <v>697</v>
      </c>
      <c r="C133" s="30" t="s">
        <v>214</v>
      </c>
      <c r="D133" s="30" t="s">
        <v>235</v>
      </c>
      <c r="E133" s="40" t="s">
        <v>785</v>
      </c>
      <c r="F133" s="31">
        <v>240</v>
      </c>
      <c r="G133" s="41">
        <v>4165</v>
      </c>
    </row>
    <row r="134" spans="1:7" ht="24" x14ac:dyDescent="0.2">
      <c r="A134" s="80" t="s">
        <v>786</v>
      </c>
      <c r="B134" s="24" t="s">
        <v>697</v>
      </c>
      <c r="C134" s="24" t="s">
        <v>214</v>
      </c>
      <c r="D134" s="24" t="s">
        <v>235</v>
      </c>
      <c r="E134" s="43" t="s">
        <v>787</v>
      </c>
      <c r="F134" s="37"/>
      <c r="G134" s="42">
        <f>G135</f>
        <v>4420</v>
      </c>
    </row>
    <row r="135" spans="1:7" x14ac:dyDescent="0.2">
      <c r="A135" s="84" t="s">
        <v>473</v>
      </c>
      <c r="B135" s="30" t="s">
        <v>697</v>
      </c>
      <c r="C135" s="30" t="s">
        <v>214</v>
      </c>
      <c r="D135" s="30" t="s">
        <v>235</v>
      </c>
      <c r="E135" s="40" t="s">
        <v>787</v>
      </c>
      <c r="F135" s="31">
        <v>200</v>
      </c>
      <c r="G135" s="41">
        <f>G136</f>
        <v>4420</v>
      </c>
    </row>
    <row r="136" spans="1:7" ht="15" customHeight="1" x14ac:dyDescent="0.2">
      <c r="A136" s="84" t="s">
        <v>227</v>
      </c>
      <c r="B136" s="30" t="s">
        <v>697</v>
      </c>
      <c r="C136" s="30" t="s">
        <v>214</v>
      </c>
      <c r="D136" s="30" t="s">
        <v>235</v>
      </c>
      <c r="E136" s="40" t="s">
        <v>787</v>
      </c>
      <c r="F136" s="31">
        <v>240</v>
      </c>
      <c r="G136" s="41">
        <f>20+4400</f>
        <v>4420</v>
      </c>
    </row>
    <row r="137" spans="1:7" ht="27" x14ac:dyDescent="0.2">
      <c r="A137" s="86" t="s">
        <v>469</v>
      </c>
      <c r="B137" s="53" t="s">
        <v>697</v>
      </c>
      <c r="C137" s="53" t="s">
        <v>214</v>
      </c>
      <c r="D137" s="53" t="s">
        <v>235</v>
      </c>
      <c r="E137" s="93" t="s">
        <v>406</v>
      </c>
      <c r="F137" s="58"/>
      <c r="G137" s="121">
        <f>G138</f>
        <v>1720</v>
      </c>
    </row>
    <row r="138" spans="1:7" ht="24" customHeight="1" x14ac:dyDescent="0.2">
      <c r="A138" s="80" t="s">
        <v>423</v>
      </c>
      <c r="B138" s="24" t="s">
        <v>697</v>
      </c>
      <c r="C138" s="24" t="s">
        <v>214</v>
      </c>
      <c r="D138" s="24" t="s">
        <v>235</v>
      </c>
      <c r="E138" s="43" t="s">
        <v>193</v>
      </c>
      <c r="F138" s="37"/>
      <c r="G138" s="117">
        <f>G139</f>
        <v>1720</v>
      </c>
    </row>
    <row r="139" spans="1:7" x14ac:dyDescent="0.2">
      <c r="A139" s="84" t="s">
        <v>473</v>
      </c>
      <c r="B139" s="30" t="s">
        <v>697</v>
      </c>
      <c r="C139" s="30" t="s">
        <v>214</v>
      </c>
      <c r="D139" s="30" t="s">
        <v>235</v>
      </c>
      <c r="E139" s="40" t="s">
        <v>193</v>
      </c>
      <c r="F139" s="31">
        <v>200</v>
      </c>
      <c r="G139" s="118">
        <f>G140</f>
        <v>1720</v>
      </c>
    </row>
    <row r="140" spans="1:7" ht="15" customHeight="1" x14ac:dyDescent="0.2">
      <c r="A140" s="84" t="s">
        <v>227</v>
      </c>
      <c r="B140" s="30" t="s">
        <v>697</v>
      </c>
      <c r="C140" s="30" t="s">
        <v>214</v>
      </c>
      <c r="D140" s="30" t="s">
        <v>235</v>
      </c>
      <c r="E140" s="40" t="s">
        <v>193</v>
      </c>
      <c r="F140" s="31">
        <v>240</v>
      </c>
      <c r="G140" s="118">
        <v>1720</v>
      </c>
    </row>
    <row r="141" spans="1:7" s="49" customFormat="1" x14ac:dyDescent="0.2">
      <c r="A141" s="80" t="s">
        <v>511</v>
      </c>
      <c r="B141" s="24">
        <v>598</v>
      </c>
      <c r="C141" s="24" t="s">
        <v>817</v>
      </c>
      <c r="D141" s="24" t="s">
        <v>215</v>
      </c>
      <c r="E141" s="24"/>
      <c r="F141" s="24"/>
      <c r="G141" s="42">
        <f>G142</f>
        <v>4655.6000000000004</v>
      </c>
    </row>
    <row r="142" spans="1:7" s="50" customFormat="1" ht="24" x14ac:dyDescent="0.2">
      <c r="A142" s="80" t="s">
        <v>654</v>
      </c>
      <c r="B142" s="24" t="s">
        <v>697</v>
      </c>
      <c r="C142" s="24" t="s">
        <v>817</v>
      </c>
      <c r="D142" s="24" t="s">
        <v>818</v>
      </c>
      <c r="E142" s="24"/>
      <c r="F142" s="24"/>
      <c r="G142" s="42">
        <f>G143</f>
        <v>4655.6000000000004</v>
      </c>
    </row>
    <row r="143" spans="1:7" s="50" customFormat="1" x14ac:dyDescent="0.2">
      <c r="A143" s="83" t="s">
        <v>762</v>
      </c>
      <c r="B143" s="25">
        <v>598</v>
      </c>
      <c r="C143" s="25" t="s">
        <v>817</v>
      </c>
      <c r="D143" s="25" t="s">
        <v>818</v>
      </c>
      <c r="E143" s="25" t="s">
        <v>382</v>
      </c>
      <c r="F143" s="25"/>
      <c r="G143" s="45">
        <f>G144</f>
        <v>4655.6000000000004</v>
      </c>
    </row>
    <row r="144" spans="1:7" s="50" customFormat="1" x14ac:dyDescent="0.2">
      <c r="A144" s="80" t="s">
        <v>476</v>
      </c>
      <c r="B144" s="24">
        <v>598</v>
      </c>
      <c r="C144" s="24" t="s">
        <v>817</v>
      </c>
      <c r="D144" s="24" t="s">
        <v>818</v>
      </c>
      <c r="E144" s="24" t="s">
        <v>383</v>
      </c>
      <c r="F144" s="24"/>
      <c r="G144" s="42">
        <f>G148+G145</f>
        <v>4655.6000000000004</v>
      </c>
    </row>
    <row r="145" spans="1:7" s="50" customFormat="1" ht="24" x14ac:dyDescent="0.2">
      <c r="A145" s="80" t="s">
        <v>277</v>
      </c>
      <c r="B145" s="24">
        <v>598</v>
      </c>
      <c r="C145" s="24" t="s">
        <v>817</v>
      </c>
      <c r="D145" s="24" t="s">
        <v>818</v>
      </c>
      <c r="E145" s="24" t="s">
        <v>383</v>
      </c>
      <c r="F145" s="24"/>
      <c r="G145" s="42">
        <f>G146</f>
        <v>1000</v>
      </c>
    </row>
    <row r="146" spans="1:7" s="50" customFormat="1" x14ac:dyDescent="0.2">
      <c r="A146" s="84" t="s">
        <v>473</v>
      </c>
      <c r="B146" s="30" t="s">
        <v>697</v>
      </c>
      <c r="C146" s="30" t="s">
        <v>817</v>
      </c>
      <c r="D146" s="30" t="s">
        <v>818</v>
      </c>
      <c r="E146" s="30" t="s">
        <v>195</v>
      </c>
      <c r="F146" s="30" t="s">
        <v>226</v>
      </c>
      <c r="G146" s="41">
        <f>G147</f>
        <v>1000</v>
      </c>
    </row>
    <row r="147" spans="1:7" s="50" customFormat="1" ht="15" customHeight="1" x14ac:dyDescent="0.2">
      <c r="A147" s="84" t="s">
        <v>227</v>
      </c>
      <c r="B147" s="30" t="s">
        <v>697</v>
      </c>
      <c r="C147" s="30" t="s">
        <v>817</v>
      </c>
      <c r="D147" s="30" t="s">
        <v>818</v>
      </c>
      <c r="E147" s="30" t="s">
        <v>195</v>
      </c>
      <c r="F147" s="30" t="s">
        <v>228</v>
      </c>
      <c r="G147" s="41">
        <v>1000</v>
      </c>
    </row>
    <row r="148" spans="1:7" x14ac:dyDescent="0.2">
      <c r="A148" s="85" t="s">
        <v>819</v>
      </c>
      <c r="B148" s="33" t="s">
        <v>697</v>
      </c>
      <c r="C148" s="33" t="s">
        <v>817</v>
      </c>
      <c r="D148" s="33" t="s">
        <v>818</v>
      </c>
      <c r="E148" s="33" t="s">
        <v>383</v>
      </c>
      <c r="F148" s="33"/>
      <c r="G148" s="101">
        <f>G149</f>
        <v>3655.6</v>
      </c>
    </row>
    <row r="149" spans="1:7" x14ac:dyDescent="0.2">
      <c r="A149" s="80" t="s">
        <v>164</v>
      </c>
      <c r="B149" s="24" t="s">
        <v>697</v>
      </c>
      <c r="C149" s="24" t="s">
        <v>817</v>
      </c>
      <c r="D149" s="24" t="s">
        <v>818</v>
      </c>
      <c r="E149" s="24" t="s">
        <v>552</v>
      </c>
      <c r="F149" s="24"/>
      <c r="G149" s="42">
        <f>G150+G152+G154</f>
        <v>3655.6</v>
      </c>
    </row>
    <row r="150" spans="1:7" ht="36" x14ac:dyDescent="0.2">
      <c r="A150" s="84" t="s">
        <v>217</v>
      </c>
      <c r="B150" s="30" t="s">
        <v>697</v>
      </c>
      <c r="C150" s="30" t="s">
        <v>817</v>
      </c>
      <c r="D150" s="30" t="s">
        <v>818</v>
      </c>
      <c r="E150" s="30" t="s">
        <v>552</v>
      </c>
      <c r="F150" s="30" t="s">
        <v>218</v>
      </c>
      <c r="G150" s="41">
        <f>G151</f>
        <v>3374</v>
      </c>
    </row>
    <row r="151" spans="1:7" x14ac:dyDescent="0.2">
      <c r="A151" s="84" t="s">
        <v>820</v>
      </c>
      <c r="B151" s="30" t="s">
        <v>697</v>
      </c>
      <c r="C151" s="30" t="s">
        <v>817</v>
      </c>
      <c r="D151" s="30" t="s">
        <v>818</v>
      </c>
      <c r="E151" s="30" t="s">
        <v>552</v>
      </c>
      <c r="F151" s="30" t="s">
        <v>821</v>
      </c>
      <c r="G151" s="41">
        <f>2550+54+770</f>
        <v>3374</v>
      </c>
    </row>
    <row r="152" spans="1:7" x14ac:dyDescent="0.2">
      <c r="A152" s="84" t="s">
        <v>473</v>
      </c>
      <c r="B152" s="30" t="s">
        <v>697</v>
      </c>
      <c r="C152" s="30" t="s">
        <v>817</v>
      </c>
      <c r="D152" s="30" t="s">
        <v>818</v>
      </c>
      <c r="E152" s="30" t="s">
        <v>552</v>
      </c>
      <c r="F152" s="30" t="s">
        <v>226</v>
      </c>
      <c r="G152" s="41">
        <f>G153</f>
        <v>271</v>
      </c>
    </row>
    <row r="153" spans="1:7" ht="15" customHeight="1" x14ac:dyDescent="0.2">
      <c r="A153" s="84" t="s">
        <v>227</v>
      </c>
      <c r="B153" s="30" t="s">
        <v>697</v>
      </c>
      <c r="C153" s="30" t="s">
        <v>817</v>
      </c>
      <c r="D153" s="30" t="s">
        <v>818</v>
      </c>
      <c r="E153" s="30" t="s">
        <v>552</v>
      </c>
      <c r="F153" s="30" t="s">
        <v>228</v>
      </c>
      <c r="G153" s="41">
        <f>171+100</f>
        <v>271</v>
      </c>
    </row>
    <row r="154" spans="1:7" x14ac:dyDescent="0.2">
      <c r="A154" s="84" t="s">
        <v>229</v>
      </c>
      <c r="B154" s="30" t="s">
        <v>697</v>
      </c>
      <c r="C154" s="30" t="s">
        <v>817</v>
      </c>
      <c r="D154" s="30" t="s">
        <v>818</v>
      </c>
      <c r="E154" s="30" t="s">
        <v>552</v>
      </c>
      <c r="F154" s="30" t="s">
        <v>230</v>
      </c>
      <c r="G154" s="41">
        <f>G155</f>
        <v>10.6</v>
      </c>
    </row>
    <row r="155" spans="1:7" x14ac:dyDescent="0.2">
      <c r="A155" s="84" t="s">
        <v>311</v>
      </c>
      <c r="B155" s="30" t="s">
        <v>697</v>
      </c>
      <c r="C155" s="30" t="s">
        <v>817</v>
      </c>
      <c r="D155" s="30" t="s">
        <v>818</v>
      </c>
      <c r="E155" s="30" t="s">
        <v>552</v>
      </c>
      <c r="F155" s="30" t="s">
        <v>231</v>
      </c>
      <c r="G155" s="41">
        <f>3+7.6</f>
        <v>10.6</v>
      </c>
    </row>
    <row r="156" spans="1:7" x14ac:dyDescent="0.2">
      <c r="A156" s="80" t="s">
        <v>655</v>
      </c>
      <c r="B156" s="24" t="s">
        <v>697</v>
      </c>
      <c r="C156" s="24" t="s">
        <v>216</v>
      </c>
      <c r="D156" s="24" t="s">
        <v>215</v>
      </c>
      <c r="E156" s="24"/>
      <c r="F156" s="24"/>
      <c r="G156" s="42">
        <f>G161+G157</f>
        <v>21239.485000000001</v>
      </c>
    </row>
    <row r="157" spans="1:7" x14ac:dyDescent="0.2">
      <c r="A157" s="80" t="s">
        <v>645</v>
      </c>
      <c r="B157" s="24" t="s">
        <v>697</v>
      </c>
      <c r="C157" s="24" t="s">
        <v>216</v>
      </c>
      <c r="D157" s="24" t="s">
        <v>214</v>
      </c>
      <c r="E157" s="24"/>
      <c r="F157" s="24"/>
      <c r="G157" s="42">
        <f>G158</f>
        <v>739.48500000000001</v>
      </c>
    </row>
    <row r="158" spans="1:7" ht="24" x14ac:dyDescent="0.2">
      <c r="A158" s="80" t="s">
        <v>646</v>
      </c>
      <c r="B158" s="24" t="s">
        <v>697</v>
      </c>
      <c r="C158" s="24" t="s">
        <v>216</v>
      </c>
      <c r="D158" s="24" t="s">
        <v>214</v>
      </c>
      <c r="E158" s="24" t="s">
        <v>648</v>
      </c>
      <c r="F158" s="24"/>
      <c r="G158" s="42">
        <f>G159</f>
        <v>739.48500000000001</v>
      </c>
    </row>
    <row r="159" spans="1:7" ht="36" x14ac:dyDescent="0.2">
      <c r="A159" s="84" t="s">
        <v>217</v>
      </c>
      <c r="B159" s="30" t="s">
        <v>697</v>
      </c>
      <c r="C159" s="30" t="s">
        <v>216</v>
      </c>
      <c r="D159" s="30" t="s">
        <v>214</v>
      </c>
      <c r="E159" s="30" t="s">
        <v>648</v>
      </c>
      <c r="F159" s="30" t="s">
        <v>218</v>
      </c>
      <c r="G159" s="41">
        <f>G160</f>
        <v>739.48500000000001</v>
      </c>
    </row>
    <row r="160" spans="1:7" x14ac:dyDescent="0.2">
      <c r="A160" s="84" t="s">
        <v>219</v>
      </c>
      <c r="B160" s="30" t="s">
        <v>697</v>
      </c>
      <c r="C160" s="30" t="s">
        <v>216</v>
      </c>
      <c r="D160" s="30" t="s">
        <v>214</v>
      </c>
      <c r="E160" s="30" t="s">
        <v>648</v>
      </c>
      <c r="F160" s="30" t="s">
        <v>224</v>
      </c>
      <c r="G160" s="41">
        <f>166.005+573.48</f>
        <v>739.48500000000001</v>
      </c>
    </row>
    <row r="161" spans="1:7" x14ac:dyDescent="0.2">
      <c r="A161" s="80" t="s">
        <v>698</v>
      </c>
      <c r="B161" s="24" t="s">
        <v>697</v>
      </c>
      <c r="C161" s="24" t="s">
        <v>216</v>
      </c>
      <c r="D161" s="24" t="s">
        <v>823</v>
      </c>
      <c r="E161" s="40"/>
      <c r="F161" s="30"/>
      <c r="G161" s="42">
        <f>G162+G178</f>
        <v>20500</v>
      </c>
    </row>
    <row r="162" spans="1:7" ht="40.5" x14ac:dyDescent="0.2">
      <c r="A162" s="86" t="s">
        <v>699</v>
      </c>
      <c r="B162" s="53" t="s">
        <v>697</v>
      </c>
      <c r="C162" s="53" t="s">
        <v>216</v>
      </c>
      <c r="D162" s="53" t="s">
        <v>823</v>
      </c>
      <c r="E162" s="53" t="s">
        <v>387</v>
      </c>
      <c r="F162" s="53"/>
      <c r="G162" s="115">
        <f>G163+G166+G169+G172+G175</f>
        <v>1500</v>
      </c>
    </row>
    <row r="163" spans="1:7" ht="48" x14ac:dyDescent="0.2">
      <c r="A163" s="61" t="s">
        <v>16</v>
      </c>
      <c r="B163" s="24" t="s">
        <v>697</v>
      </c>
      <c r="C163" s="24" t="s">
        <v>216</v>
      </c>
      <c r="D163" s="24" t="s">
        <v>823</v>
      </c>
      <c r="E163" s="24" t="s">
        <v>28</v>
      </c>
      <c r="F163" s="24"/>
      <c r="G163" s="35">
        <f>G164</f>
        <v>200</v>
      </c>
    </row>
    <row r="164" spans="1:7" x14ac:dyDescent="0.2">
      <c r="A164" s="84" t="s">
        <v>473</v>
      </c>
      <c r="B164" s="30" t="s">
        <v>697</v>
      </c>
      <c r="C164" s="30" t="s">
        <v>216</v>
      </c>
      <c r="D164" s="30" t="s">
        <v>823</v>
      </c>
      <c r="E164" s="30" t="s">
        <v>28</v>
      </c>
      <c r="F164" s="30" t="s">
        <v>226</v>
      </c>
      <c r="G164" s="116">
        <f>G165</f>
        <v>200</v>
      </c>
    </row>
    <row r="165" spans="1:7" ht="15" customHeight="1" x14ac:dyDescent="0.2">
      <c r="A165" s="84" t="s">
        <v>227</v>
      </c>
      <c r="B165" s="31">
        <v>598</v>
      </c>
      <c r="C165" s="30" t="s">
        <v>216</v>
      </c>
      <c r="D165" s="30" t="s">
        <v>823</v>
      </c>
      <c r="E165" s="30" t="s">
        <v>28</v>
      </c>
      <c r="F165" s="30" t="s">
        <v>228</v>
      </c>
      <c r="G165" s="116">
        <v>200</v>
      </c>
    </row>
    <row r="166" spans="1:7" ht="48" x14ac:dyDescent="0.2">
      <c r="A166" s="61" t="s">
        <v>17</v>
      </c>
      <c r="B166" s="24" t="s">
        <v>697</v>
      </c>
      <c r="C166" s="24" t="s">
        <v>216</v>
      </c>
      <c r="D166" s="24" t="s">
        <v>823</v>
      </c>
      <c r="E166" s="24" t="s">
        <v>29</v>
      </c>
      <c r="F166" s="24"/>
      <c r="G166" s="35">
        <f>G167</f>
        <v>300</v>
      </c>
    </row>
    <row r="167" spans="1:7" x14ac:dyDescent="0.2">
      <c r="A167" s="84" t="s">
        <v>473</v>
      </c>
      <c r="B167" s="30" t="s">
        <v>697</v>
      </c>
      <c r="C167" s="30" t="s">
        <v>216</v>
      </c>
      <c r="D167" s="30" t="s">
        <v>823</v>
      </c>
      <c r="E167" s="30" t="s">
        <v>29</v>
      </c>
      <c r="F167" s="30" t="s">
        <v>226</v>
      </c>
      <c r="G167" s="116">
        <f>G168</f>
        <v>300</v>
      </c>
    </row>
    <row r="168" spans="1:7" ht="15" customHeight="1" x14ac:dyDescent="0.2">
      <c r="A168" s="84" t="s">
        <v>227</v>
      </c>
      <c r="B168" s="31">
        <v>598</v>
      </c>
      <c r="C168" s="30" t="s">
        <v>216</v>
      </c>
      <c r="D168" s="30" t="s">
        <v>823</v>
      </c>
      <c r="E168" s="30" t="s">
        <v>29</v>
      </c>
      <c r="F168" s="30" t="s">
        <v>228</v>
      </c>
      <c r="G168" s="116">
        <v>300</v>
      </c>
    </row>
    <row r="169" spans="1:7" ht="36" x14ac:dyDescent="0.2">
      <c r="A169" s="80" t="s">
        <v>18</v>
      </c>
      <c r="B169" s="24" t="s">
        <v>697</v>
      </c>
      <c r="C169" s="24" t="s">
        <v>216</v>
      </c>
      <c r="D169" s="24" t="s">
        <v>823</v>
      </c>
      <c r="E169" s="24" t="s">
        <v>30</v>
      </c>
      <c r="F169" s="24"/>
      <c r="G169" s="35">
        <f>G170</f>
        <v>300</v>
      </c>
    </row>
    <row r="170" spans="1:7" x14ac:dyDescent="0.2">
      <c r="A170" s="84" t="s">
        <v>473</v>
      </c>
      <c r="B170" s="30" t="s">
        <v>697</v>
      </c>
      <c r="C170" s="30" t="s">
        <v>216</v>
      </c>
      <c r="D170" s="30" t="s">
        <v>823</v>
      </c>
      <c r="E170" s="30" t="s">
        <v>30</v>
      </c>
      <c r="F170" s="30" t="s">
        <v>226</v>
      </c>
      <c r="G170" s="116">
        <f>G171</f>
        <v>300</v>
      </c>
    </row>
    <row r="171" spans="1:7" ht="15" customHeight="1" x14ac:dyDescent="0.2">
      <c r="A171" s="84" t="s">
        <v>227</v>
      </c>
      <c r="B171" s="31">
        <v>598</v>
      </c>
      <c r="C171" s="30" t="s">
        <v>216</v>
      </c>
      <c r="D171" s="30" t="s">
        <v>823</v>
      </c>
      <c r="E171" s="30" t="s">
        <v>30</v>
      </c>
      <c r="F171" s="30" t="s">
        <v>228</v>
      </c>
      <c r="G171" s="116">
        <v>300</v>
      </c>
    </row>
    <row r="172" spans="1:7" ht="24" x14ac:dyDescent="0.2">
      <c r="A172" s="80" t="s">
        <v>19</v>
      </c>
      <c r="B172" s="24" t="s">
        <v>697</v>
      </c>
      <c r="C172" s="24" t="s">
        <v>216</v>
      </c>
      <c r="D172" s="24" t="s">
        <v>823</v>
      </c>
      <c r="E172" s="24" t="s">
        <v>31</v>
      </c>
      <c r="F172" s="24"/>
      <c r="G172" s="35">
        <f>G173</f>
        <v>400</v>
      </c>
    </row>
    <row r="173" spans="1:7" x14ac:dyDescent="0.2">
      <c r="A173" s="84" t="s">
        <v>473</v>
      </c>
      <c r="B173" s="30" t="s">
        <v>697</v>
      </c>
      <c r="C173" s="30" t="s">
        <v>216</v>
      </c>
      <c r="D173" s="30" t="s">
        <v>823</v>
      </c>
      <c r="E173" s="30" t="s">
        <v>31</v>
      </c>
      <c r="F173" s="30" t="s">
        <v>226</v>
      </c>
      <c r="G173" s="116">
        <f>G174</f>
        <v>400</v>
      </c>
    </row>
    <row r="174" spans="1:7" ht="15" customHeight="1" x14ac:dyDescent="0.2">
      <c r="A174" s="84" t="s">
        <v>227</v>
      </c>
      <c r="B174" s="31">
        <v>598</v>
      </c>
      <c r="C174" s="30" t="s">
        <v>216</v>
      </c>
      <c r="D174" s="30" t="s">
        <v>823</v>
      </c>
      <c r="E174" s="30" t="s">
        <v>31</v>
      </c>
      <c r="F174" s="30" t="s">
        <v>228</v>
      </c>
      <c r="G174" s="116">
        <v>400</v>
      </c>
    </row>
    <row r="175" spans="1:7" ht="26.25" customHeight="1" x14ac:dyDescent="0.2">
      <c r="A175" s="80" t="s">
        <v>27</v>
      </c>
      <c r="B175" s="24" t="s">
        <v>697</v>
      </c>
      <c r="C175" s="24" t="s">
        <v>216</v>
      </c>
      <c r="D175" s="24" t="s">
        <v>823</v>
      </c>
      <c r="E175" s="24" t="s">
        <v>32</v>
      </c>
      <c r="F175" s="24"/>
      <c r="G175" s="35">
        <f>G176</f>
        <v>300</v>
      </c>
    </row>
    <row r="176" spans="1:7" x14ac:dyDescent="0.2">
      <c r="A176" s="84" t="s">
        <v>473</v>
      </c>
      <c r="B176" s="30" t="s">
        <v>697</v>
      </c>
      <c r="C176" s="30" t="s">
        <v>216</v>
      </c>
      <c r="D176" s="30" t="s">
        <v>823</v>
      </c>
      <c r="E176" s="30" t="s">
        <v>32</v>
      </c>
      <c r="F176" s="30" t="s">
        <v>226</v>
      </c>
      <c r="G176" s="116">
        <f>G177</f>
        <v>300</v>
      </c>
    </row>
    <row r="177" spans="1:7" ht="15" customHeight="1" x14ac:dyDescent="0.2">
      <c r="A177" s="84" t="s">
        <v>227</v>
      </c>
      <c r="B177" s="31">
        <v>598</v>
      </c>
      <c r="C177" s="30" t="s">
        <v>216</v>
      </c>
      <c r="D177" s="30" t="s">
        <v>823</v>
      </c>
      <c r="E177" s="30" t="s">
        <v>32</v>
      </c>
      <c r="F177" s="30" t="s">
        <v>228</v>
      </c>
      <c r="G177" s="116">
        <v>300</v>
      </c>
    </row>
    <row r="178" spans="1:7" x14ac:dyDescent="0.2">
      <c r="A178" s="81" t="s">
        <v>212</v>
      </c>
      <c r="B178" s="25" t="s">
        <v>697</v>
      </c>
      <c r="C178" s="25" t="s">
        <v>216</v>
      </c>
      <c r="D178" s="25" t="s">
        <v>823</v>
      </c>
      <c r="E178" s="25" t="s">
        <v>382</v>
      </c>
      <c r="F178" s="25"/>
      <c r="G178" s="45">
        <f>G179</f>
        <v>19000</v>
      </c>
    </row>
    <row r="179" spans="1:7" x14ac:dyDescent="0.2">
      <c r="A179" s="80" t="s">
        <v>476</v>
      </c>
      <c r="B179" s="37">
        <v>598</v>
      </c>
      <c r="C179" s="24" t="s">
        <v>216</v>
      </c>
      <c r="D179" s="24" t="s">
        <v>823</v>
      </c>
      <c r="E179" s="24" t="s">
        <v>383</v>
      </c>
      <c r="F179" s="24"/>
      <c r="G179" s="42">
        <f>G180+G183+G186+G189</f>
        <v>19000</v>
      </c>
    </row>
    <row r="180" spans="1:7" ht="24" x14ac:dyDescent="0.2">
      <c r="A180" s="80" t="s">
        <v>33</v>
      </c>
      <c r="B180" s="37">
        <v>598</v>
      </c>
      <c r="C180" s="24" t="s">
        <v>216</v>
      </c>
      <c r="D180" s="24" t="s">
        <v>823</v>
      </c>
      <c r="E180" s="24" t="s">
        <v>37</v>
      </c>
      <c r="F180" s="24"/>
      <c r="G180" s="42">
        <f>G181</f>
        <v>13200</v>
      </c>
    </row>
    <row r="181" spans="1:7" x14ac:dyDescent="0.2">
      <c r="A181" s="84" t="s">
        <v>473</v>
      </c>
      <c r="B181" s="30" t="s">
        <v>697</v>
      </c>
      <c r="C181" s="30" t="s">
        <v>216</v>
      </c>
      <c r="D181" s="30" t="s">
        <v>823</v>
      </c>
      <c r="E181" s="30" t="s">
        <v>37</v>
      </c>
      <c r="F181" s="31">
        <v>200</v>
      </c>
      <c r="G181" s="41">
        <f>G182</f>
        <v>13200</v>
      </c>
    </row>
    <row r="182" spans="1:7" ht="15" customHeight="1" x14ac:dyDescent="0.2">
      <c r="A182" s="84" t="s">
        <v>227</v>
      </c>
      <c r="B182" s="31">
        <v>598</v>
      </c>
      <c r="C182" s="30" t="s">
        <v>216</v>
      </c>
      <c r="D182" s="30" t="s">
        <v>823</v>
      </c>
      <c r="E182" s="30" t="s">
        <v>37</v>
      </c>
      <c r="F182" s="30" t="s">
        <v>228</v>
      </c>
      <c r="G182" s="41">
        <v>13200</v>
      </c>
    </row>
    <row r="183" spans="1:7" x14ac:dyDescent="0.2">
      <c r="A183" s="80" t="s">
        <v>34</v>
      </c>
      <c r="B183" s="24" t="s">
        <v>697</v>
      </c>
      <c r="C183" s="24" t="s">
        <v>216</v>
      </c>
      <c r="D183" s="24" t="s">
        <v>823</v>
      </c>
      <c r="E183" s="24" t="s">
        <v>38</v>
      </c>
      <c r="F183" s="24"/>
      <c r="G183" s="42">
        <f>G184</f>
        <v>1500</v>
      </c>
    </row>
    <row r="184" spans="1:7" x14ac:dyDescent="0.2">
      <c r="A184" s="84" t="s">
        <v>473</v>
      </c>
      <c r="B184" s="30" t="s">
        <v>697</v>
      </c>
      <c r="C184" s="30" t="s">
        <v>216</v>
      </c>
      <c r="D184" s="30" t="s">
        <v>823</v>
      </c>
      <c r="E184" s="30" t="s">
        <v>38</v>
      </c>
      <c r="F184" s="31">
        <v>200</v>
      </c>
      <c r="G184" s="41">
        <f>G185</f>
        <v>1500</v>
      </c>
    </row>
    <row r="185" spans="1:7" ht="15" customHeight="1" x14ac:dyDescent="0.2">
      <c r="A185" s="84" t="s">
        <v>227</v>
      </c>
      <c r="B185" s="31">
        <v>598</v>
      </c>
      <c r="C185" s="30" t="s">
        <v>216</v>
      </c>
      <c r="D185" s="30" t="s">
        <v>823</v>
      </c>
      <c r="E185" s="30" t="s">
        <v>38</v>
      </c>
      <c r="F185" s="30" t="s">
        <v>228</v>
      </c>
      <c r="G185" s="41">
        <v>1500</v>
      </c>
    </row>
    <row r="186" spans="1:7" ht="24" x14ac:dyDescent="0.2">
      <c r="A186" s="80" t="s">
        <v>35</v>
      </c>
      <c r="B186" s="37">
        <v>598</v>
      </c>
      <c r="C186" s="24" t="s">
        <v>216</v>
      </c>
      <c r="D186" s="24" t="s">
        <v>823</v>
      </c>
      <c r="E186" s="24" t="s">
        <v>39</v>
      </c>
      <c r="F186" s="24"/>
      <c r="G186" s="117">
        <f>G187</f>
        <v>4000</v>
      </c>
    </row>
    <row r="187" spans="1:7" x14ac:dyDescent="0.2">
      <c r="A187" s="84" t="s">
        <v>473</v>
      </c>
      <c r="B187" s="30" t="s">
        <v>697</v>
      </c>
      <c r="C187" s="30" t="s">
        <v>216</v>
      </c>
      <c r="D187" s="30" t="s">
        <v>823</v>
      </c>
      <c r="E187" s="30" t="s">
        <v>39</v>
      </c>
      <c r="F187" s="31">
        <v>200</v>
      </c>
      <c r="G187" s="118">
        <f>G188</f>
        <v>4000</v>
      </c>
    </row>
    <row r="188" spans="1:7" ht="15" customHeight="1" x14ac:dyDescent="0.2">
      <c r="A188" s="84" t="s">
        <v>227</v>
      </c>
      <c r="B188" s="31">
        <v>598</v>
      </c>
      <c r="C188" s="30" t="s">
        <v>216</v>
      </c>
      <c r="D188" s="30" t="s">
        <v>823</v>
      </c>
      <c r="E188" s="30" t="s">
        <v>39</v>
      </c>
      <c r="F188" s="30" t="s">
        <v>228</v>
      </c>
      <c r="G188" s="118">
        <v>4000</v>
      </c>
    </row>
    <row r="189" spans="1:7" ht="24" x14ac:dyDescent="0.2">
      <c r="A189" s="80" t="s">
        <v>36</v>
      </c>
      <c r="B189" s="37">
        <v>598</v>
      </c>
      <c r="C189" s="24" t="s">
        <v>216</v>
      </c>
      <c r="D189" s="24" t="s">
        <v>823</v>
      </c>
      <c r="E189" s="24" t="s">
        <v>544</v>
      </c>
      <c r="F189" s="24"/>
      <c r="G189" s="117">
        <f>G190</f>
        <v>300</v>
      </c>
    </row>
    <row r="190" spans="1:7" x14ac:dyDescent="0.2">
      <c r="A190" s="84" t="s">
        <v>473</v>
      </c>
      <c r="B190" s="30" t="s">
        <v>697</v>
      </c>
      <c r="C190" s="30" t="s">
        <v>216</v>
      </c>
      <c r="D190" s="30" t="s">
        <v>823</v>
      </c>
      <c r="E190" s="30" t="s">
        <v>544</v>
      </c>
      <c r="F190" s="31">
        <v>200</v>
      </c>
      <c r="G190" s="118">
        <f>G191</f>
        <v>300</v>
      </c>
    </row>
    <row r="191" spans="1:7" ht="15" customHeight="1" x14ac:dyDescent="0.2">
      <c r="A191" s="84" t="s">
        <v>227</v>
      </c>
      <c r="B191" s="31">
        <v>598</v>
      </c>
      <c r="C191" s="30" t="s">
        <v>216</v>
      </c>
      <c r="D191" s="30" t="s">
        <v>823</v>
      </c>
      <c r="E191" s="30" t="s">
        <v>544</v>
      </c>
      <c r="F191" s="30" t="s">
        <v>228</v>
      </c>
      <c r="G191" s="118">
        <v>300</v>
      </c>
    </row>
    <row r="192" spans="1:7" x14ac:dyDescent="0.2">
      <c r="A192" s="80" t="s">
        <v>700</v>
      </c>
      <c r="B192" s="24">
        <v>598</v>
      </c>
      <c r="C192" s="24" t="s">
        <v>107</v>
      </c>
      <c r="D192" s="24" t="s">
        <v>215</v>
      </c>
      <c r="E192" s="24"/>
      <c r="F192" s="24"/>
      <c r="G192" s="42">
        <f>G193+G199</f>
        <v>45650.511750000005</v>
      </c>
    </row>
    <row r="193" spans="1:7" x14ac:dyDescent="0.2">
      <c r="A193" s="80" t="s">
        <v>681</v>
      </c>
      <c r="B193" s="24" t="s">
        <v>697</v>
      </c>
      <c r="C193" s="24" t="s">
        <v>107</v>
      </c>
      <c r="D193" s="24" t="s">
        <v>214</v>
      </c>
      <c r="E193" s="24" t="s">
        <v>382</v>
      </c>
      <c r="F193" s="24"/>
      <c r="G193" s="42">
        <f>G194</f>
        <v>15500</v>
      </c>
    </row>
    <row r="194" spans="1:7" x14ac:dyDescent="0.2">
      <c r="A194" s="83" t="s">
        <v>762</v>
      </c>
      <c r="B194" s="25">
        <v>598</v>
      </c>
      <c r="C194" s="25" t="s">
        <v>107</v>
      </c>
      <c r="D194" s="25" t="s">
        <v>214</v>
      </c>
      <c r="E194" s="25" t="s">
        <v>382</v>
      </c>
      <c r="F194" s="24"/>
      <c r="G194" s="45">
        <f>G195</f>
        <v>15500</v>
      </c>
    </row>
    <row r="195" spans="1:7" x14ac:dyDescent="0.2">
      <c r="A195" s="80" t="s">
        <v>476</v>
      </c>
      <c r="B195" s="24">
        <v>598</v>
      </c>
      <c r="C195" s="24" t="s">
        <v>107</v>
      </c>
      <c r="D195" s="24" t="s">
        <v>214</v>
      </c>
      <c r="E195" s="24" t="s">
        <v>383</v>
      </c>
      <c r="F195" s="24"/>
      <c r="G195" s="42">
        <f>G196</f>
        <v>15500</v>
      </c>
    </row>
    <row r="196" spans="1:7" ht="24" x14ac:dyDescent="0.2">
      <c r="A196" s="80" t="s">
        <v>694</v>
      </c>
      <c r="B196" s="24" t="s">
        <v>697</v>
      </c>
      <c r="C196" s="24" t="s">
        <v>107</v>
      </c>
      <c r="D196" s="24" t="s">
        <v>214</v>
      </c>
      <c r="E196" s="24" t="s">
        <v>545</v>
      </c>
      <c r="F196" s="24"/>
      <c r="G196" s="42">
        <f>G197</f>
        <v>15500</v>
      </c>
    </row>
    <row r="197" spans="1:7" x14ac:dyDescent="0.2">
      <c r="A197" s="84" t="s">
        <v>237</v>
      </c>
      <c r="B197" s="30" t="s">
        <v>697</v>
      </c>
      <c r="C197" s="30" t="s">
        <v>107</v>
      </c>
      <c r="D197" s="30" t="s">
        <v>214</v>
      </c>
      <c r="E197" s="30" t="s">
        <v>545</v>
      </c>
      <c r="F197" s="30" t="s">
        <v>236</v>
      </c>
      <c r="G197" s="41">
        <f>G198</f>
        <v>15500</v>
      </c>
    </row>
    <row r="198" spans="1:7" x14ac:dyDescent="0.2">
      <c r="A198" s="84" t="s">
        <v>314</v>
      </c>
      <c r="B198" s="30" t="s">
        <v>697</v>
      </c>
      <c r="C198" s="30" t="s">
        <v>107</v>
      </c>
      <c r="D198" s="30" t="s">
        <v>214</v>
      </c>
      <c r="E198" s="30" t="s">
        <v>545</v>
      </c>
      <c r="F198" s="30" t="s">
        <v>110</v>
      </c>
      <c r="G198" s="41">
        <v>15500</v>
      </c>
    </row>
    <row r="199" spans="1:7" x14ac:dyDescent="0.2">
      <c r="A199" s="80" t="s">
        <v>687</v>
      </c>
      <c r="B199" s="24" t="s">
        <v>697</v>
      </c>
      <c r="C199" s="24" t="s">
        <v>107</v>
      </c>
      <c r="D199" s="24" t="s">
        <v>817</v>
      </c>
      <c r="E199" s="24"/>
      <c r="F199" s="24"/>
      <c r="G199" s="42">
        <f>G200+G213</f>
        <v>30150.511750000001</v>
      </c>
    </row>
    <row r="200" spans="1:7" x14ac:dyDescent="0.2">
      <c r="A200" s="83" t="s">
        <v>762</v>
      </c>
      <c r="B200" s="25">
        <v>598</v>
      </c>
      <c r="C200" s="25" t="s">
        <v>107</v>
      </c>
      <c r="D200" s="25" t="s">
        <v>817</v>
      </c>
      <c r="E200" s="25" t="s">
        <v>382</v>
      </c>
      <c r="F200" s="24"/>
      <c r="G200" s="45">
        <f>G201</f>
        <v>28650.511750000001</v>
      </c>
    </row>
    <row r="201" spans="1:7" x14ac:dyDescent="0.2">
      <c r="A201" s="80" t="s">
        <v>476</v>
      </c>
      <c r="B201" s="24">
        <v>598</v>
      </c>
      <c r="C201" s="24" t="s">
        <v>107</v>
      </c>
      <c r="D201" s="24" t="s">
        <v>817</v>
      </c>
      <c r="E201" s="24" t="s">
        <v>383</v>
      </c>
      <c r="F201" s="24"/>
      <c r="G201" s="42">
        <f>G205+G208+G202</f>
        <v>28650.511750000001</v>
      </c>
    </row>
    <row r="202" spans="1:7" x14ac:dyDescent="0.2">
      <c r="A202" s="80" t="s">
        <v>222</v>
      </c>
      <c r="B202" s="24" t="s">
        <v>697</v>
      </c>
      <c r="C202" s="24" t="s">
        <v>107</v>
      </c>
      <c r="D202" s="24" t="s">
        <v>817</v>
      </c>
      <c r="E202" s="94" t="s">
        <v>223</v>
      </c>
      <c r="F202" s="24"/>
      <c r="G202" s="42">
        <f>G203</f>
        <v>24365.511750000001</v>
      </c>
    </row>
    <row r="203" spans="1:7" x14ac:dyDescent="0.2">
      <c r="A203" s="84" t="s">
        <v>237</v>
      </c>
      <c r="B203" s="30" t="s">
        <v>697</v>
      </c>
      <c r="C203" s="30" t="s">
        <v>107</v>
      </c>
      <c r="D203" s="30" t="s">
        <v>817</v>
      </c>
      <c r="E203" s="95" t="s">
        <v>223</v>
      </c>
      <c r="F203" s="30" t="s">
        <v>236</v>
      </c>
      <c r="G203" s="41">
        <f>G204</f>
        <v>24365.511750000001</v>
      </c>
    </row>
    <row r="204" spans="1:7" x14ac:dyDescent="0.2">
      <c r="A204" s="84" t="s">
        <v>238</v>
      </c>
      <c r="B204" s="30" t="s">
        <v>697</v>
      </c>
      <c r="C204" s="30" t="s">
        <v>107</v>
      </c>
      <c r="D204" s="30" t="s">
        <v>817</v>
      </c>
      <c r="E204" s="95" t="s">
        <v>223</v>
      </c>
      <c r="F204" s="30" t="s">
        <v>239</v>
      </c>
      <c r="G204" s="41">
        <v>24365.511750000001</v>
      </c>
    </row>
    <row r="205" spans="1:7" x14ac:dyDescent="0.2">
      <c r="A205" s="80" t="s">
        <v>789</v>
      </c>
      <c r="B205" s="24" t="s">
        <v>697</v>
      </c>
      <c r="C205" s="24" t="s">
        <v>107</v>
      </c>
      <c r="D205" s="24" t="s">
        <v>817</v>
      </c>
      <c r="E205" s="94" t="s">
        <v>15</v>
      </c>
      <c r="F205" s="24"/>
      <c r="G205" s="42">
        <f>G206</f>
        <v>3000</v>
      </c>
    </row>
    <row r="206" spans="1:7" x14ac:dyDescent="0.2">
      <c r="A206" s="84" t="s">
        <v>237</v>
      </c>
      <c r="B206" s="30" t="s">
        <v>697</v>
      </c>
      <c r="C206" s="30" t="s">
        <v>107</v>
      </c>
      <c r="D206" s="30" t="s">
        <v>817</v>
      </c>
      <c r="E206" s="95" t="s">
        <v>15</v>
      </c>
      <c r="F206" s="30" t="s">
        <v>236</v>
      </c>
      <c r="G206" s="41">
        <f>G207</f>
        <v>3000</v>
      </c>
    </row>
    <row r="207" spans="1:7" x14ac:dyDescent="0.2">
      <c r="A207" s="84" t="s">
        <v>238</v>
      </c>
      <c r="B207" s="30" t="s">
        <v>697</v>
      </c>
      <c r="C207" s="30" t="s">
        <v>107</v>
      </c>
      <c r="D207" s="30" t="s">
        <v>817</v>
      </c>
      <c r="E207" s="95" t="s">
        <v>15</v>
      </c>
      <c r="F207" s="30" t="s">
        <v>239</v>
      </c>
      <c r="G207" s="41">
        <v>3000</v>
      </c>
    </row>
    <row r="208" spans="1:7" x14ac:dyDescent="0.2">
      <c r="A208" s="80" t="s">
        <v>233</v>
      </c>
      <c r="B208" s="24">
        <v>598</v>
      </c>
      <c r="C208" s="24" t="s">
        <v>107</v>
      </c>
      <c r="D208" s="24" t="s">
        <v>817</v>
      </c>
      <c r="E208" s="24" t="s">
        <v>512</v>
      </c>
      <c r="F208" s="24"/>
      <c r="G208" s="42">
        <f>G209+G211</f>
        <v>1285</v>
      </c>
    </row>
    <row r="209" spans="1:7" x14ac:dyDescent="0.2">
      <c r="A209" s="84" t="s">
        <v>237</v>
      </c>
      <c r="B209" s="30">
        <v>598</v>
      </c>
      <c r="C209" s="30" t="s">
        <v>107</v>
      </c>
      <c r="D209" s="30" t="s">
        <v>817</v>
      </c>
      <c r="E209" s="30" t="s">
        <v>512</v>
      </c>
      <c r="F209" s="30" t="s">
        <v>236</v>
      </c>
      <c r="G209" s="41">
        <f>G210</f>
        <v>515</v>
      </c>
    </row>
    <row r="210" spans="1:7" x14ac:dyDescent="0.2">
      <c r="A210" s="84" t="s">
        <v>314</v>
      </c>
      <c r="B210" s="30">
        <v>598</v>
      </c>
      <c r="C210" s="30" t="s">
        <v>107</v>
      </c>
      <c r="D210" s="30" t="s">
        <v>817</v>
      </c>
      <c r="E210" s="30" t="s">
        <v>512</v>
      </c>
      <c r="F210" s="30" t="s">
        <v>110</v>
      </c>
      <c r="G210" s="41">
        <v>515</v>
      </c>
    </row>
    <row r="211" spans="1:7" ht="24" x14ac:dyDescent="0.2">
      <c r="A211" s="84" t="s">
        <v>246</v>
      </c>
      <c r="B211" s="30">
        <v>598</v>
      </c>
      <c r="C211" s="30" t="s">
        <v>107</v>
      </c>
      <c r="D211" s="30" t="s">
        <v>817</v>
      </c>
      <c r="E211" s="30" t="s">
        <v>512</v>
      </c>
      <c r="F211" s="30" t="s">
        <v>702</v>
      </c>
      <c r="G211" s="41">
        <f>G212</f>
        <v>770</v>
      </c>
    </row>
    <row r="212" spans="1:7" x14ac:dyDescent="0.2">
      <c r="A212" s="84" t="s">
        <v>247</v>
      </c>
      <c r="B212" s="30">
        <v>598</v>
      </c>
      <c r="C212" s="30" t="s">
        <v>107</v>
      </c>
      <c r="D212" s="30" t="s">
        <v>817</v>
      </c>
      <c r="E212" s="30" t="s">
        <v>512</v>
      </c>
      <c r="F212" s="30" t="s">
        <v>724</v>
      </c>
      <c r="G212" s="41">
        <v>770</v>
      </c>
    </row>
    <row r="213" spans="1:7" s="50" customFormat="1" ht="27" x14ac:dyDescent="0.2">
      <c r="A213" s="86" t="s">
        <v>547</v>
      </c>
      <c r="B213" s="53" t="s">
        <v>697</v>
      </c>
      <c r="C213" s="53" t="s">
        <v>107</v>
      </c>
      <c r="D213" s="53" t="s">
        <v>817</v>
      </c>
      <c r="E213" s="93" t="s">
        <v>426</v>
      </c>
      <c r="F213" s="53"/>
      <c r="G213" s="57">
        <f>G214</f>
        <v>1500</v>
      </c>
    </row>
    <row r="214" spans="1:7" s="50" customFormat="1" ht="24" x14ac:dyDescent="0.2">
      <c r="A214" s="75" t="s">
        <v>172</v>
      </c>
      <c r="B214" s="24" t="s">
        <v>697</v>
      </c>
      <c r="C214" s="24" t="s">
        <v>107</v>
      </c>
      <c r="D214" s="24" t="s">
        <v>817</v>
      </c>
      <c r="E214" s="43" t="s">
        <v>40</v>
      </c>
      <c r="F214" s="24"/>
      <c r="G214" s="42">
        <f>G215</f>
        <v>1500</v>
      </c>
    </row>
    <row r="215" spans="1:7" s="51" customFormat="1" x14ac:dyDescent="0.2">
      <c r="A215" s="84" t="s">
        <v>237</v>
      </c>
      <c r="B215" s="30" t="s">
        <v>697</v>
      </c>
      <c r="C215" s="30" t="s">
        <v>107</v>
      </c>
      <c r="D215" s="30" t="s">
        <v>817</v>
      </c>
      <c r="E215" s="40" t="s">
        <v>40</v>
      </c>
      <c r="F215" s="30" t="s">
        <v>236</v>
      </c>
      <c r="G215" s="41">
        <f>G216</f>
        <v>1500</v>
      </c>
    </row>
    <row r="216" spans="1:7" s="51" customFormat="1" x14ac:dyDescent="0.2">
      <c r="A216" s="84" t="s">
        <v>314</v>
      </c>
      <c r="B216" s="30" t="s">
        <v>697</v>
      </c>
      <c r="C216" s="30" t="s">
        <v>107</v>
      </c>
      <c r="D216" s="30" t="s">
        <v>817</v>
      </c>
      <c r="E216" s="40" t="s">
        <v>40</v>
      </c>
      <c r="F216" s="30" t="s">
        <v>110</v>
      </c>
      <c r="G216" s="41">
        <v>1500</v>
      </c>
    </row>
    <row r="217" spans="1:7" s="49" customFormat="1" x14ac:dyDescent="0.2">
      <c r="A217" s="80" t="s">
        <v>692</v>
      </c>
      <c r="B217" s="24" t="s">
        <v>697</v>
      </c>
      <c r="C217" s="24" t="s">
        <v>823</v>
      </c>
      <c r="D217" s="24" t="s">
        <v>215</v>
      </c>
      <c r="E217" s="24"/>
      <c r="F217" s="24"/>
      <c r="G217" s="42">
        <f>G218+G228</f>
        <v>10694</v>
      </c>
    </row>
    <row r="218" spans="1:7" s="49" customFormat="1" x14ac:dyDescent="0.2">
      <c r="A218" s="80" t="s">
        <v>679</v>
      </c>
      <c r="B218" s="24" t="s">
        <v>697</v>
      </c>
      <c r="C218" s="24" t="s">
        <v>823</v>
      </c>
      <c r="D218" s="24" t="s">
        <v>214</v>
      </c>
      <c r="E218" s="24" t="s">
        <v>382</v>
      </c>
      <c r="F218" s="24"/>
      <c r="G218" s="42">
        <f>G219</f>
        <v>4414</v>
      </c>
    </row>
    <row r="219" spans="1:7" x14ac:dyDescent="0.2">
      <c r="A219" s="80" t="s">
        <v>250</v>
      </c>
      <c r="B219" s="24" t="s">
        <v>697</v>
      </c>
      <c r="C219" s="24" t="s">
        <v>823</v>
      </c>
      <c r="D219" s="24" t="s">
        <v>214</v>
      </c>
      <c r="E219" s="24" t="s">
        <v>383</v>
      </c>
      <c r="F219" s="24"/>
      <c r="G219" s="42">
        <f>G220</f>
        <v>4414</v>
      </c>
    </row>
    <row r="220" spans="1:7" x14ac:dyDescent="0.2">
      <c r="A220" s="85" t="s">
        <v>819</v>
      </c>
      <c r="B220" s="33" t="s">
        <v>697</v>
      </c>
      <c r="C220" s="33" t="s">
        <v>823</v>
      </c>
      <c r="D220" s="33" t="s">
        <v>214</v>
      </c>
      <c r="E220" s="33" t="s">
        <v>555</v>
      </c>
      <c r="F220" s="33"/>
      <c r="G220" s="101">
        <f>G221</f>
        <v>4414</v>
      </c>
    </row>
    <row r="221" spans="1:7" x14ac:dyDescent="0.2">
      <c r="A221" s="80" t="s">
        <v>168</v>
      </c>
      <c r="B221" s="24" t="s">
        <v>697</v>
      </c>
      <c r="C221" s="24" t="s">
        <v>823</v>
      </c>
      <c r="D221" s="24" t="s">
        <v>214</v>
      </c>
      <c r="E221" s="24" t="s">
        <v>555</v>
      </c>
      <c r="F221" s="24"/>
      <c r="G221" s="42">
        <f>G222+G224+G226</f>
        <v>4414</v>
      </c>
    </row>
    <row r="222" spans="1:7" ht="36" x14ac:dyDescent="0.2">
      <c r="A222" s="84" t="s">
        <v>217</v>
      </c>
      <c r="B222" s="30" t="s">
        <v>697</v>
      </c>
      <c r="C222" s="30" t="s">
        <v>823</v>
      </c>
      <c r="D222" s="30" t="s">
        <v>214</v>
      </c>
      <c r="E222" s="30" t="s">
        <v>555</v>
      </c>
      <c r="F222" s="30" t="s">
        <v>218</v>
      </c>
      <c r="G222" s="41">
        <f>G223</f>
        <v>3071</v>
      </c>
    </row>
    <row r="223" spans="1:7" x14ac:dyDescent="0.2">
      <c r="A223" s="84" t="s">
        <v>820</v>
      </c>
      <c r="B223" s="30" t="s">
        <v>697</v>
      </c>
      <c r="C223" s="30" t="s">
        <v>823</v>
      </c>
      <c r="D223" s="30" t="s">
        <v>214</v>
      </c>
      <c r="E223" s="30" t="s">
        <v>555</v>
      </c>
      <c r="F223" s="30" t="s">
        <v>821</v>
      </c>
      <c r="G223" s="41">
        <f>2271+114+686</f>
        <v>3071</v>
      </c>
    </row>
    <row r="224" spans="1:7" x14ac:dyDescent="0.2">
      <c r="A224" s="84" t="s">
        <v>473</v>
      </c>
      <c r="B224" s="30" t="s">
        <v>697</v>
      </c>
      <c r="C224" s="30" t="s">
        <v>823</v>
      </c>
      <c r="D224" s="30" t="s">
        <v>214</v>
      </c>
      <c r="E224" s="30" t="s">
        <v>555</v>
      </c>
      <c r="F224" s="30" t="s">
        <v>226</v>
      </c>
      <c r="G224" s="41">
        <f>G225</f>
        <v>1337</v>
      </c>
    </row>
    <row r="225" spans="1:7" ht="15" customHeight="1" x14ac:dyDescent="0.2">
      <c r="A225" s="84" t="s">
        <v>227</v>
      </c>
      <c r="B225" s="30" t="s">
        <v>697</v>
      </c>
      <c r="C225" s="30" t="s">
        <v>823</v>
      </c>
      <c r="D225" s="30" t="s">
        <v>214</v>
      </c>
      <c r="E225" s="30" t="s">
        <v>555</v>
      </c>
      <c r="F225" s="30" t="s">
        <v>228</v>
      </c>
      <c r="G225" s="41">
        <f>617+720</f>
        <v>1337</v>
      </c>
    </row>
    <row r="226" spans="1:7" x14ac:dyDescent="0.2">
      <c r="A226" s="84" t="s">
        <v>229</v>
      </c>
      <c r="B226" s="30" t="s">
        <v>697</v>
      </c>
      <c r="C226" s="30" t="s">
        <v>823</v>
      </c>
      <c r="D226" s="30" t="s">
        <v>214</v>
      </c>
      <c r="E226" s="30" t="s">
        <v>555</v>
      </c>
      <c r="F226" s="30" t="s">
        <v>230</v>
      </c>
      <c r="G226" s="41">
        <f>G227</f>
        <v>6</v>
      </c>
    </row>
    <row r="227" spans="1:7" x14ac:dyDescent="0.2">
      <c r="A227" s="84" t="s">
        <v>311</v>
      </c>
      <c r="B227" s="30" t="s">
        <v>697</v>
      </c>
      <c r="C227" s="30" t="s">
        <v>823</v>
      </c>
      <c r="D227" s="30" t="s">
        <v>214</v>
      </c>
      <c r="E227" s="30" t="s">
        <v>555</v>
      </c>
      <c r="F227" s="30" t="s">
        <v>231</v>
      </c>
      <c r="G227" s="41">
        <v>6</v>
      </c>
    </row>
    <row r="228" spans="1:7" ht="15.75" x14ac:dyDescent="0.2">
      <c r="A228" s="80" t="s">
        <v>680</v>
      </c>
      <c r="B228" s="24" t="s">
        <v>697</v>
      </c>
      <c r="C228" s="24" t="s">
        <v>823</v>
      </c>
      <c r="D228" s="24" t="s">
        <v>825</v>
      </c>
      <c r="E228" s="24" t="s">
        <v>382</v>
      </c>
      <c r="F228" s="47"/>
      <c r="G228" s="42">
        <f>G229</f>
        <v>6280</v>
      </c>
    </row>
    <row r="229" spans="1:7" x14ac:dyDescent="0.2">
      <c r="A229" s="80" t="s">
        <v>250</v>
      </c>
      <c r="B229" s="24" t="s">
        <v>697</v>
      </c>
      <c r="C229" s="24" t="s">
        <v>823</v>
      </c>
      <c r="D229" s="24" t="s">
        <v>825</v>
      </c>
      <c r="E229" s="24" t="s">
        <v>383</v>
      </c>
      <c r="F229" s="24"/>
      <c r="G229" s="42">
        <f>G230</f>
        <v>6280</v>
      </c>
    </row>
    <row r="230" spans="1:7" ht="24" x14ac:dyDescent="0.2">
      <c r="A230" s="80" t="s">
        <v>171</v>
      </c>
      <c r="B230" s="24" t="s">
        <v>697</v>
      </c>
      <c r="C230" s="24" t="s">
        <v>823</v>
      </c>
      <c r="D230" s="24" t="s">
        <v>825</v>
      </c>
      <c r="E230" s="24" t="s">
        <v>556</v>
      </c>
      <c r="F230" s="24"/>
      <c r="G230" s="42">
        <f>G231</f>
        <v>6280</v>
      </c>
    </row>
    <row r="231" spans="1:7" ht="24" x14ac:dyDescent="0.2">
      <c r="A231" s="84" t="s">
        <v>246</v>
      </c>
      <c r="B231" s="30" t="s">
        <v>697</v>
      </c>
      <c r="C231" s="30" t="s">
        <v>823</v>
      </c>
      <c r="D231" s="30" t="s">
        <v>825</v>
      </c>
      <c r="E231" s="30" t="s">
        <v>556</v>
      </c>
      <c r="F231" s="30" t="s">
        <v>702</v>
      </c>
      <c r="G231" s="41">
        <f>G232</f>
        <v>6280</v>
      </c>
    </row>
    <row r="232" spans="1:7" x14ac:dyDescent="0.2">
      <c r="A232" s="84" t="s">
        <v>247</v>
      </c>
      <c r="B232" s="30" t="s">
        <v>697</v>
      </c>
      <c r="C232" s="30" t="s">
        <v>823</v>
      </c>
      <c r="D232" s="30" t="s">
        <v>825</v>
      </c>
      <c r="E232" s="30" t="s">
        <v>556</v>
      </c>
      <c r="F232" s="30" t="s">
        <v>724</v>
      </c>
      <c r="G232" s="41">
        <f>7000-720</f>
        <v>6280</v>
      </c>
    </row>
    <row r="233" spans="1:7" ht="15.75" x14ac:dyDescent="0.2">
      <c r="A233" s="79" t="s">
        <v>351</v>
      </c>
      <c r="B233" s="46">
        <v>599</v>
      </c>
      <c r="C233" s="47"/>
      <c r="D233" s="47"/>
      <c r="E233" s="46"/>
      <c r="F233" s="46"/>
      <c r="G233" s="102">
        <f>G234+G269+G263+G276</f>
        <v>18730.700000000004</v>
      </c>
    </row>
    <row r="234" spans="1:7" x14ac:dyDescent="0.2">
      <c r="A234" s="80" t="s">
        <v>256</v>
      </c>
      <c r="B234" s="24" t="s">
        <v>701</v>
      </c>
      <c r="C234" s="24" t="s">
        <v>214</v>
      </c>
      <c r="D234" s="24" t="s">
        <v>215</v>
      </c>
      <c r="E234" s="24"/>
      <c r="F234" s="24"/>
      <c r="G234" s="42">
        <f>G235+G252+G246</f>
        <v>15966.700000000003</v>
      </c>
    </row>
    <row r="235" spans="1:7" ht="24.75" customHeight="1" x14ac:dyDescent="0.2">
      <c r="A235" s="80" t="s">
        <v>501</v>
      </c>
      <c r="B235" s="24" t="s">
        <v>701</v>
      </c>
      <c r="C235" s="24" t="s">
        <v>214</v>
      </c>
      <c r="D235" s="24" t="s">
        <v>216</v>
      </c>
      <c r="E235" s="24"/>
      <c r="F235" s="24"/>
      <c r="G235" s="42">
        <f>G236</f>
        <v>15466.616290000002</v>
      </c>
    </row>
    <row r="236" spans="1:7" x14ac:dyDescent="0.2">
      <c r="A236" s="81" t="s">
        <v>212</v>
      </c>
      <c r="B236" s="25" t="s">
        <v>701</v>
      </c>
      <c r="C236" s="25" t="s">
        <v>214</v>
      </c>
      <c r="D236" s="25" t="s">
        <v>216</v>
      </c>
      <c r="E236" s="25" t="s">
        <v>382</v>
      </c>
      <c r="F236" s="25"/>
      <c r="G236" s="45">
        <f>G237</f>
        <v>15466.616290000002</v>
      </c>
    </row>
    <row r="237" spans="1:7" x14ac:dyDescent="0.2">
      <c r="A237" s="82" t="s">
        <v>476</v>
      </c>
      <c r="B237" s="24" t="s">
        <v>701</v>
      </c>
      <c r="C237" s="24" t="s">
        <v>214</v>
      </c>
      <c r="D237" s="24" t="s">
        <v>216</v>
      </c>
      <c r="E237" s="24" t="s">
        <v>383</v>
      </c>
      <c r="F237" s="24"/>
      <c r="G237" s="42">
        <f>G238+G241</f>
        <v>15466.616290000002</v>
      </c>
    </row>
    <row r="238" spans="1:7" x14ac:dyDescent="0.2">
      <c r="A238" s="82" t="s">
        <v>475</v>
      </c>
      <c r="B238" s="24" t="s">
        <v>701</v>
      </c>
      <c r="C238" s="24" t="s">
        <v>214</v>
      </c>
      <c r="D238" s="24" t="s">
        <v>216</v>
      </c>
      <c r="E238" s="24" t="s">
        <v>384</v>
      </c>
      <c r="F238" s="24"/>
      <c r="G238" s="42">
        <f>G239</f>
        <v>12805.2</v>
      </c>
    </row>
    <row r="239" spans="1:7" ht="36" x14ac:dyDescent="0.2">
      <c r="A239" s="84" t="s">
        <v>217</v>
      </c>
      <c r="B239" s="30" t="s">
        <v>701</v>
      </c>
      <c r="C239" s="30" t="s">
        <v>214</v>
      </c>
      <c r="D239" s="30" t="s">
        <v>216</v>
      </c>
      <c r="E239" s="30" t="s">
        <v>384</v>
      </c>
      <c r="F239" s="30" t="s">
        <v>218</v>
      </c>
      <c r="G239" s="41">
        <f>G240</f>
        <v>12805.2</v>
      </c>
    </row>
    <row r="240" spans="1:7" x14ac:dyDescent="0.2">
      <c r="A240" s="84" t="s">
        <v>219</v>
      </c>
      <c r="B240" s="30" t="s">
        <v>701</v>
      </c>
      <c r="C240" s="30" t="s">
        <v>214</v>
      </c>
      <c r="D240" s="30" t="s">
        <v>216</v>
      </c>
      <c r="E240" s="30" t="s">
        <v>384</v>
      </c>
      <c r="F240" s="30" t="s">
        <v>224</v>
      </c>
      <c r="G240" s="41">
        <f>9835.2+2970</f>
        <v>12805.2</v>
      </c>
    </row>
    <row r="241" spans="1:7" x14ac:dyDescent="0.2">
      <c r="A241" s="80" t="s">
        <v>225</v>
      </c>
      <c r="B241" s="24" t="s">
        <v>701</v>
      </c>
      <c r="C241" s="24" t="s">
        <v>214</v>
      </c>
      <c r="D241" s="24" t="s">
        <v>216</v>
      </c>
      <c r="E241" s="24" t="s">
        <v>385</v>
      </c>
      <c r="F241" s="24"/>
      <c r="G241" s="42">
        <f>G242+G244</f>
        <v>2661.4162900000001</v>
      </c>
    </row>
    <row r="242" spans="1:7" x14ac:dyDescent="0.2">
      <c r="A242" s="84" t="s">
        <v>473</v>
      </c>
      <c r="B242" s="30" t="s">
        <v>701</v>
      </c>
      <c r="C242" s="30" t="s">
        <v>214</v>
      </c>
      <c r="D242" s="30" t="s">
        <v>216</v>
      </c>
      <c r="E242" s="30" t="s">
        <v>385</v>
      </c>
      <c r="F242" s="30" t="s">
        <v>226</v>
      </c>
      <c r="G242" s="41">
        <f>G243</f>
        <v>2630</v>
      </c>
    </row>
    <row r="243" spans="1:7" ht="15" customHeight="1" x14ac:dyDescent="0.2">
      <c r="A243" s="84" t="s">
        <v>227</v>
      </c>
      <c r="B243" s="30" t="s">
        <v>701</v>
      </c>
      <c r="C243" s="30" t="s">
        <v>214</v>
      </c>
      <c r="D243" s="30" t="s">
        <v>216</v>
      </c>
      <c r="E243" s="30" t="s">
        <v>385</v>
      </c>
      <c r="F243" s="30" t="s">
        <v>228</v>
      </c>
      <c r="G243" s="41">
        <v>2630</v>
      </c>
    </row>
    <row r="244" spans="1:7" x14ac:dyDescent="0.2">
      <c r="A244" s="84" t="s">
        <v>229</v>
      </c>
      <c r="B244" s="30" t="s">
        <v>701</v>
      </c>
      <c r="C244" s="30" t="s">
        <v>214</v>
      </c>
      <c r="D244" s="30" t="s">
        <v>216</v>
      </c>
      <c r="E244" s="30" t="s">
        <v>385</v>
      </c>
      <c r="F244" s="30" t="s">
        <v>230</v>
      </c>
      <c r="G244" s="41">
        <f>G245</f>
        <v>31.41629</v>
      </c>
    </row>
    <row r="245" spans="1:7" x14ac:dyDescent="0.2">
      <c r="A245" s="84" t="s">
        <v>106</v>
      </c>
      <c r="B245" s="30" t="s">
        <v>701</v>
      </c>
      <c r="C245" s="30" t="s">
        <v>214</v>
      </c>
      <c r="D245" s="30" t="s">
        <v>216</v>
      </c>
      <c r="E245" s="30" t="s">
        <v>385</v>
      </c>
      <c r="F245" s="30" t="s">
        <v>231</v>
      </c>
      <c r="G245" s="41">
        <f>40-8.58371</f>
        <v>31.41629</v>
      </c>
    </row>
    <row r="246" spans="1:7" x14ac:dyDescent="0.2">
      <c r="A246" s="80" t="s">
        <v>760</v>
      </c>
      <c r="B246" s="24" t="s">
        <v>701</v>
      </c>
      <c r="C246" s="24" t="s">
        <v>214</v>
      </c>
      <c r="D246" s="24" t="s">
        <v>731</v>
      </c>
      <c r="E246" s="24"/>
      <c r="F246" s="24"/>
      <c r="G246" s="117">
        <f>G247</f>
        <v>91.5</v>
      </c>
    </row>
    <row r="247" spans="1:7" x14ac:dyDescent="0.2">
      <c r="A247" s="81" t="s">
        <v>212</v>
      </c>
      <c r="B247" s="25" t="s">
        <v>701</v>
      </c>
      <c r="C247" s="25" t="s">
        <v>214</v>
      </c>
      <c r="D247" s="25" t="s">
        <v>731</v>
      </c>
      <c r="E247" s="25" t="s">
        <v>382</v>
      </c>
      <c r="F247" s="30"/>
      <c r="G247" s="122">
        <f>G248</f>
        <v>91.5</v>
      </c>
    </row>
    <row r="248" spans="1:7" x14ac:dyDescent="0.2">
      <c r="A248" s="82" t="s">
        <v>476</v>
      </c>
      <c r="B248" s="24" t="s">
        <v>701</v>
      </c>
      <c r="C248" s="24" t="s">
        <v>214</v>
      </c>
      <c r="D248" s="24" t="s">
        <v>731</v>
      </c>
      <c r="E248" s="24" t="s">
        <v>383</v>
      </c>
      <c r="F248" s="30"/>
      <c r="G248" s="117">
        <f>G249</f>
        <v>91.5</v>
      </c>
    </row>
    <row r="249" spans="1:7" ht="25.5" customHeight="1" x14ac:dyDescent="0.2">
      <c r="A249" s="80" t="s">
        <v>764</v>
      </c>
      <c r="B249" s="24" t="s">
        <v>701</v>
      </c>
      <c r="C249" s="24" t="s">
        <v>214</v>
      </c>
      <c r="D249" s="24" t="s">
        <v>731</v>
      </c>
      <c r="E249" s="24" t="s">
        <v>559</v>
      </c>
      <c r="F249" s="24"/>
      <c r="G249" s="117">
        <f>G250</f>
        <v>91.5</v>
      </c>
    </row>
    <row r="250" spans="1:7" x14ac:dyDescent="0.2">
      <c r="A250" s="84" t="s">
        <v>473</v>
      </c>
      <c r="B250" s="30" t="s">
        <v>701</v>
      </c>
      <c r="C250" s="30" t="s">
        <v>214</v>
      </c>
      <c r="D250" s="30" t="s">
        <v>731</v>
      </c>
      <c r="E250" s="30" t="s">
        <v>559</v>
      </c>
      <c r="F250" s="30" t="s">
        <v>226</v>
      </c>
      <c r="G250" s="118">
        <f>G251</f>
        <v>91.5</v>
      </c>
    </row>
    <row r="251" spans="1:7" ht="15" customHeight="1" x14ac:dyDescent="0.2">
      <c r="A251" s="84" t="s">
        <v>227</v>
      </c>
      <c r="B251" s="30" t="s">
        <v>701</v>
      </c>
      <c r="C251" s="30" t="s">
        <v>214</v>
      </c>
      <c r="D251" s="30" t="s">
        <v>731</v>
      </c>
      <c r="E251" s="30" t="s">
        <v>559</v>
      </c>
      <c r="F251" s="30" t="s">
        <v>228</v>
      </c>
      <c r="G251" s="118">
        <v>91.5</v>
      </c>
    </row>
    <row r="252" spans="1:7" x14ac:dyDescent="0.2">
      <c r="A252" s="61" t="s">
        <v>509</v>
      </c>
      <c r="B252" s="24" t="s">
        <v>701</v>
      </c>
      <c r="C252" s="24" t="s">
        <v>214</v>
      </c>
      <c r="D252" s="24" t="s">
        <v>235</v>
      </c>
      <c r="E252" s="24"/>
      <c r="F252" s="24"/>
      <c r="G252" s="42">
        <f>G253+G258</f>
        <v>408.58371</v>
      </c>
    </row>
    <row r="253" spans="1:7" ht="27" x14ac:dyDescent="0.2">
      <c r="A253" s="170" t="s">
        <v>196</v>
      </c>
      <c r="B253" s="25">
        <v>599</v>
      </c>
      <c r="C253" s="25" t="s">
        <v>214</v>
      </c>
      <c r="D253" s="25" t="s">
        <v>235</v>
      </c>
      <c r="E253" s="25" t="s">
        <v>245</v>
      </c>
      <c r="F253" s="25"/>
      <c r="G253" s="45">
        <f>G254</f>
        <v>400</v>
      </c>
    </row>
    <row r="254" spans="1:7" x14ac:dyDescent="0.2">
      <c r="A254" s="61" t="s">
        <v>43</v>
      </c>
      <c r="B254" s="24" t="s">
        <v>701</v>
      </c>
      <c r="C254" s="24" t="s">
        <v>214</v>
      </c>
      <c r="D254" s="24" t="s">
        <v>235</v>
      </c>
      <c r="E254" s="24" t="s">
        <v>46</v>
      </c>
      <c r="F254" s="24"/>
      <c r="G254" s="42">
        <f>G255</f>
        <v>400</v>
      </c>
    </row>
    <row r="255" spans="1:7" x14ac:dyDescent="0.2">
      <c r="A255" s="62" t="s">
        <v>44</v>
      </c>
      <c r="B255" s="25" t="s">
        <v>701</v>
      </c>
      <c r="C255" s="25" t="s">
        <v>214</v>
      </c>
      <c r="D255" s="25" t="s">
        <v>235</v>
      </c>
      <c r="E255" s="25" t="s">
        <v>45</v>
      </c>
      <c r="F255" s="25"/>
      <c r="G255" s="45">
        <f>G256</f>
        <v>400</v>
      </c>
    </row>
    <row r="256" spans="1:7" ht="36" x14ac:dyDescent="0.2">
      <c r="A256" s="84" t="s">
        <v>217</v>
      </c>
      <c r="B256" s="30" t="s">
        <v>701</v>
      </c>
      <c r="C256" s="30" t="s">
        <v>214</v>
      </c>
      <c r="D256" s="30" t="s">
        <v>235</v>
      </c>
      <c r="E256" s="30" t="s">
        <v>45</v>
      </c>
      <c r="F256" s="30" t="s">
        <v>218</v>
      </c>
      <c r="G256" s="41">
        <f>G257</f>
        <v>400</v>
      </c>
    </row>
    <row r="257" spans="1:7" x14ac:dyDescent="0.2">
      <c r="A257" s="84" t="s">
        <v>219</v>
      </c>
      <c r="B257" s="30" t="s">
        <v>701</v>
      </c>
      <c r="C257" s="30" t="s">
        <v>214</v>
      </c>
      <c r="D257" s="30" t="s">
        <v>235</v>
      </c>
      <c r="E257" s="30" t="s">
        <v>45</v>
      </c>
      <c r="F257" s="30" t="s">
        <v>224</v>
      </c>
      <c r="G257" s="41">
        <v>400</v>
      </c>
    </row>
    <row r="258" spans="1:7" x14ac:dyDescent="0.2">
      <c r="A258" s="81" t="s">
        <v>212</v>
      </c>
      <c r="B258" s="25" t="s">
        <v>701</v>
      </c>
      <c r="C258" s="25" t="s">
        <v>214</v>
      </c>
      <c r="D258" s="25" t="s">
        <v>235</v>
      </c>
      <c r="E258" s="25" t="s">
        <v>382</v>
      </c>
      <c r="F258" s="25"/>
      <c r="G258" s="45">
        <f>G259</f>
        <v>8.58371</v>
      </c>
    </row>
    <row r="259" spans="1:7" x14ac:dyDescent="0.2">
      <c r="A259" s="80" t="s">
        <v>476</v>
      </c>
      <c r="B259" s="24" t="s">
        <v>701</v>
      </c>
      <c r="C259" s="24" t="s">
        <v>214</v>
      </c>
      <c r="D259" s="24" t="s">
        <v>235</v>
      </c>
      <c r="E259" s="24" t="s">
        <v>383</v>
      </c>
      <c r="F259" s="24"/>
      <c r="G259" s="42">
        <f>G260</f>
        <v>8.58371</v>
      </c>
    </row>
    <row r="260" spans="1:7" x14ac:dyDescent="0.2">
      <c r="A260" s="80" t="s">
        <v>510</v>
      </c>
      <c r="B260" s="24" t="s">
        <v>701</v>
      </c>
      <c r="C260" s="24" t="s">
        <v>214</v>
      </c>
      <c r="D260" s="24" t="s">
        <v>235</v>
      </c>
      <c r="E260" s="43" t="s">
        <v>147</v>
      </c>
      <c r="F260" s="24"/>
      <c r="G260" s="42">
        <f>G261</f>
        <v>8.58371</v>
      </c>
    </row>
    <row r="261" spans="1:7" x14ac:dyDescent="0.2">
      <c r="A261" s="84" t="s">
        <v>229</v>
      </c>
      <c r="B261" s="30" t="s">
        <v>701</v>
      </c>
      <c r="C261" s="30" t="s">
        <v>214</v>
      </c>
      <c r="D261" s="30" t="s">
        <v>235</v>
      </c>
      <c r="E261" s="40" t="s">
        <v>147</v>
      </c>
      <c r="F261" s="30" t="s">
        <v>230</v>
      </c>
      <c r="G261" s="41">
        <f>G262</f>
        <v>8.58371</v>
      </c>
    </row>
    <row r="262" spans="1:7" x14ac:dyDescent="0.2">
      <c r="A262" s="84" t="s">
        <v>306</v>
      </c>
      <c r="B262" s="30" t="s">
        <v>701</v>
      </c>
      <c r="C262" s="30" t="s">
        <v>214</v>
      </c>
      <c r="D262" s="30" t="s">
        <v>235</v>
      </c>
      <c r="E262" s="40" t="s">
        <v>147</v>
      </c>
      <c r="F262" s="30" t="s">
        <v>310</v>
      </c>
      <c r="G262" s="41">
        <v>8.58371</v>
      </c>
    </row>
    <row r="263" spans="1:7" x14ac:dyDescent="0.2">
      <c r="A263" s="80" t="s">
        <v>667</v>
      </c>
      <c r="B263" s="24" t="s">
        <v>701</v>
      </c>
      <c r="C263" s="24" t="s">
        <v>731</v>
      </c>
      <c r="D263" s="24" t="s">
        <v>215</v>
      </c>
      <c r="E263" s="24"/>
      <c r="F263" s="24"/>
      <c r="G263" s="42">
        <f>G264</f>
        <v>2500</v>
      </c>
    </row>
    <row r="264" spans="1:7" x14ac:dyDescent="0.2">
      <c r="A264" s="80" t="s">
        <v>671</v>
      </c>
      <c r="B264" s="24" t="s">
        <v>701</v>
      </c>
      <c r="C264" s="24" t="s">
        <v>731</v>
      </c>
      <c r="D264" s="24" t="s">
        <v>817</v>
      </c>
      <c r="E264" s="24"/>
      <c r="F264" s="24"/>
      <c r="G264" s="42">
        <f>G265</f>
        <v>2500</v>
      </c>
    </row>
    <row r="265" spans="1:7" ht="27" x14ac:dyDescent="0.2">
      <c r="A265" s="86" t="s">
        <v>439</v>
      </c>
      <c r="B265" s="53" t="s">
        <v>701</v>
      </c>
      <c r="C265" s="53" t="s">
        <v>731</v>
      </c>
      <c r="D265" s="53" t="s">
        <v>817</v>
      </c>
      <c r="E265" s="93" t="s">
        <v>425</v>
      </c>
      <c r="F265" s="53"/>
      <c r="G265" s="57">
        <f>G266</f>
        <v>2500</v>
      </c>
    </row>
    <row r="266" spans="1:7" ht="14.25" customHeight="1" x14ac:dyDescent="0.2">
      <c r="A266" s="80" t="s">
        <v>418</v>
      </c>
      <c r="B266" s="24" t="s">
        <v>701</v>
      </c>
      <c r="C266" s="24" t="s">
        <v>731</v>
      </c>
      <c r="D266" s="24" t="s">
        <v>817</v>
      </c>
      <c r="E266" s="24" t="s">
        <v>41</v>
      </c>
      <c r="F266" s="24"/>
      <c r="G266" s="117">
        <f>G267</f>
        <v>2500</v>
      </c>
    </row>
    <row r="267" spans="1:7" x14ac:dyDescent="0.2">
      <c r="A267" s="84" t="s">
        <v>473</v>
      </c>
      <c r="B267" s="30" t="s">
        <v>701</v>
      </c>
      <c r="C267" s="30" t="s">
        <v>731</v>
      </c>
      <c r="D267" s="30" t="s">
        <v>817</v>
      </c>
      <c r="E267" s="30" t="s">
        <v>41</v>
      </c>
      <c r="F267" s="30" t="s">
        <v>226</v>
      </c>
      <c r="G267" s="118">
        <f>G268</f>
        <v>2500</v>
      </c>
    </row>
    <row r="268" spans="1:7" ht="15" customHeight="1" x14ac:dyDescent="0.2">
      <c r="A268" s="84" t="s">
        <v>227</v>
      </c>
      <c r="B268" s="30" t="s">
        <v>701</v>
      </c>
      <c r="C268" s="30" t="s">
        <v>731</v>
      </c>
      <c r="D268" s="30" t="s">
        <v>817</v>
      </c>
      <c r="E268" s="30" t="s">
        <v>41</v>
      </c>
      <c r="F268" s="30" t="s">
        <v>228</v>
      </c>
      <c r="G268" s="118">
        <f>500+2000</f>
        <v>2500</v>
      </c>
    </row>
    <row r="269" spans="1:7" x14ac:dyDescent="0.2">
      <c r="A269" s="80" t="s">
        <v>673</v>
      </c>
      <c r="B269" s="24" t="s">
        <v>701</v>
      </c>
      <c r="C269" s="24" t="s">
        <v>824</v>
      </c>
      <c r="D269" s="24" t="s">
        <v>215</v>
      </c>
      <c r="E269" s="30"/>
      <c r="F269" s="30"/>
      <c r="G269" s="42">
        <f t="shared" ref="G269:G274" si="0">G270</f>
        <v>57</v>
      </c>
    </row>
    <row r="270" spans="1:7" x14ac:dyDescent="0.2">
      <c r="A270" s="80" t="s">
        <v>676</v>
      </c>
      <c r="B270" s="24" t="s">
        <v>701</v>
      </c>
      <c r="C270" s="24" t="s">
        <v>824</v>
      </c>
      <c r="D270" s="24" t="s">
        <v>824</v>
      </c>
      <c r="E270" s="24"/>
      <c r="F270" s="24"/>
      <c r="G270" s="42">
        <f t="shared" si="0"/>
        <v>57</v>
      </c>
    </row>
    <row r="271" spans="1:7" x14ac:dyDescent="0.2">
      <c r="A271" s="81" t="s">
        <v>212</v>
      </c>
      <c r="B271" s="25">
        <v>599</v>
      </c>
      <c r="C271" s="25" t="s">
        <v>824</v>
      </c>
      <c r="D271" s="25" t="s">
        <v>824</v>
      </c>
      <c r="E271" s="25" t="s">
        <v>382</v>
      </c>
      <c r="F271" s="25"/>
      <c r="G271" s="45">
        <f t="shared" si="0"/>
        <v>57</v>
      </c>
    </row>
    <row r="272" spans="1:7" x14ac:dyDescent="0.2">
      <c r="A272" s="82" t="s">
        <v>476</v>
      </c>
      <c r="B272" s="24" t="s">
        <v>701</v>
      </c>
      <c r="C272" s="24" t="s">
        <v>824</v>
      </c>
      <c r="D272" s="24" t="s">
        <v>824</v>
      </c>
      <c r="E272" s="24" t="s">
        <v>383</v>
      </c>
      <c r="F272" s="24"/>
      <c r="G272" s="42">
        <f t="shared" si="0"/>
        <v>57</v>
      </c>
    </row>
    <row r="273" spans="1:7" x14ac:dyDescent="0.2">
      <c r="A273" s="81" t="s">
        <v>514</v>
      </c>
      <c r="B273" s="25" t="s">
        <v>701</v>
      </c>
      <c r="C273" s="25" t="s">
        <v>824</v>
      </c>
      <c r="D273" s="25" t="s">
        <v>824</v>
      </c>
      <c r="E273" s="25" t="s">
        <v>42</v>
      </c>
      <c r="F273" s="25"/>
      <c r="G273" s="45">
        <f t="shared" si="0"/>
        <v>57</v>
      </c>
    </row>
    <row r="274" spans="1:7" x14ac:dyDescent="0.2">
      <c r="A274" s="84" t="s">
        <v>473</v>
      </c>
      <c r="B274" s="30" t="s">
        <v>701</v>
      </c>
      <c r="C274" s="30" t="s">
        <v>824</v>
      </c>
      <c r="D274" s="30" t="s">
        <v>824</v>
      </c>
      <c r="E274" s="30" t="s">
        <v>42</v>
      </c>
      <c r="F274" s="30" t="s">
        <v>226</v>
      </c>
      <c r="G274" s="41">
        <f t="shared" si="0"/>
        <v>57</v>
      </c>
    </row>
    <row r="275" spans="1:7" ht="15" customHeight="1" x14ac:dyDescent="0.2">
      <c r="A275" s="84" t="s">
        <v>227</v>
      </c>
      <c r="B275" s="30" t="s">
        <v>701</v>
      </c>
      <c r="C275" s="30" t="s">
        <v>824</v>
      </c>
      <c r="D275" s="30" t="s">
        <v>824</v>
      </c>
      <c r="E275" s="30" t="s">
        <v>42</v>
      </c>
      <c r="F275" s="30" t="s">
        <v>228</v>
      </c>
      <c r="G275" s="41">
        <f>375-318</f>
        <v>57</v>
      </c>
    </row>
    <row r="276" spans="1:7" x14ac:dyDescent="0.2">
      <c r="A276" s="80" t="s">
        <v>700</v>
      </c>
      <c r="B276" s="24" t="s">
        <v>701</v>
      </c>
      <c r="C276" s="24" t="s">
        <v>107</v>
      </c>
      <c r="D276" s="24" t="s">
        <v>215</v>
      </c>
      <c r="E276" s="24"/>
      <c r="F276" s="24"/>
      <c r="G276" s="42">
        <v>207</v>
      </c>
    </row>
    <row r="277" spans="1:7" x14ac:dyDescent="0.2">
      <c r="A277" s="80" t="s">
        <v>687</v>
      </c>
      <c r="B277" s="24" t="s">
        <v>701</v>
      </c>
      <c r="C277" s="24" t="s">
        <v>107</v>
      </c>
      <c r="D277" s="24" t="s">
        <v>817</v>
      </c>
      <c r="E277" s="24"/>
      <c r="F277" s="24"/>
      <c r="G277" s="42">
        <v>207</v>
      </c>
    </row>
    <row r="278" spans="1:7" x14ac:dyDescent="0.2">
      <c r="A278" s="83" t="s">
        <v>762</v>
      </c>
      <c r="B278" s="25" t="s">
        <v>701</v>
      </c>
      <c r="C278" s="25" t="s">
        <v>107</v>
      </c>
      <c r="D278" s="25" t="s">
        <v>817</v>
      </c>
      <c r="E278" s="25" t="s">
        <v>382</v>
      </c>
      <c r="F278" s="24"/>
      <c r="G278" s="45">
        <v>207</v>
      </c>
    </row>
    <row r="279" spans="1:7" x14ac:dyDescent="0.2">
      <c r="A279" s="80" t="s">
        <v>476</v>
      </c>
      <c r="B279" s="24" t="s">
        <v>701</v>
      </c>
      <c r="C279" s="24" t="s">
        <v>107</v>
      </c>
      <c r="D279" s="24" t="s">
        <v>817</v>
      </c>
      <c r="E279" s="24" t="s">
        <v>383</v>
      </c>
      <c r="F279" s="24"/>
      <c r="G279" s="42">
        <v>207</v>
      </c>
    </row>
    <row r="280" spans="1:7" x14ac:dyDescent="0.2">
      <c r="A280" s="80" t="s">
        <v>233</v>
      </c>
      <c r="B280" s="24" t="s">
        <v>701</v>
      </c>
      <c r="C280" s="24" t="s">
        <v>107</v>
      </c>
      <c r="D280" s="24" t="s">
        <v>817</v>
      </c>
      <c r="E280" s="24" t="s">
        <v>512</v>
      </c>
      <c r="F280" s="24"/>
      <c r="G280" s="117">
        <v>207</v>
      </c>
    </row>
    <row r="281" spans="1:7" x14ac:dyDescent="0.2">
      <c r="A281" s="84" t="s">
        <v>473</v>
      </c>
      <c r="B281" s="30" t="s">
        <v>701</v>
      </c>
      <c r="C281" s="30" t="s">
        <v>107</v>
      </c>
      <c r="D281" s="30" t="s">
        <v>817</v>
      </c>
      <c r="E281" s="30" t="s">
        <v>512</v>
      </c>
      <c r="F281" s="30" t="s">
        <v>226</v>
      </c>
      <c r="G281" s="118">
        <v>207</v>
      </c>
    </row>
    <row r="282" spans="1:7" ht="15" customHeight="1" x14ac:dyDescent="0.2">
      <c r="A282" s="84" t="s">
        <v>227</v>
      </c>
      <c r="B282" s="30" t="s">
        <v>701</v>
      </c>
      <c r="C282" s="30" t="s">
        <v>107</v>
      </c>
      <c r="D282" s="30" t="s">
        <v>817</v>
      </c>
      <c r="E282" s="30" t="s">
        <v>512</v>
      </c>
      <c r="F282" s="30" t="s">
        <v>228</v>
      </c>
      <c r="G282" s="118">
        <v>207</v>
      </c>
    </row>
    <row r="283" spans="1:7" ht="15.75" x14ac:dyDescent="0.2">
      <c r="A283" s="79" t="s">
        <v>352</v>
      </c>
      <c r="B283" s="46" t="s">
        <v>702</v>
      </c>
      <c r="C283" s="47"/>
      <c r="D283" s="47"/>
      <c r="E283" s="46"/>
      <c r="F283" s="46"/>
      <c r="G283" s="102">
        <f>G284+G319+G313+G326+G308</f>
        <v>20369.169999999998</v>
      </c>
    </row>
    <row r="284" spans="1:7" x14ac:dyDescent="0.2">
      <c r="A284" s="80" t="s">
        <v>256</v>
      </c>
      <c r="B284" s="24" t="s">
        <v>702</v>
      </c>
      <c r="C284" s="24" t="s">
        <v>214</v>
      </c>
      <c r="D284" s="24" t="s">
        <v>215</v>
      </c>
      <c r="E284" s="24"/>
      <c r="F284" s="24"/>
      <c r="G284" s="42">
        <f>G285+G302+G296</f>
        <v>17311.5</v>
      </c>
    </row>
    <row r="285" spans="1:7" ht="26.25" customHeight="1" x14ac:dyDescent="0.2">
      <c r="A285" s="80" t="s">
        <v>501</v>
      </c>
      <c r="B285" s="24" t="s">
        <v>702</v>
      </c>
      <c r="C285" s="24" t="s">
        <v>214</v>
      </c>
      <c r="D285" s="24" t="s">
        <v>216</v>
      </c>
      <c r="E285" s="24"/>
      <c r="F285" s="24"/>
      <c r="G285" s="42">
        <f>G286</f>
        <v>16820</v>
      </c>
    </row>
    <row r="286" spans="1:7" x14ac:dyDescent="0.2">
      <c r="A286" s="81" t="s">
        <v>212</v>
      </c>
      <c r="B286" s="25" t="s">
        <v>702</v>
      </c>
      <c r="C286" s="25" t="s">
        <v>214</v>
      </c>
      <c r="D286" s="25" t="s">
        <v>216</v>
      </c>
      <c r="E286" s="25" t="s">
        <v>382</v>
      </c>
      <c r="F286" s="25"/>
      <c r="G286" s="45">
        <f>G287</f>
        <v>16820</v>
      </c>
    </row>
    <row r="287" spans="1:7" x14ac:dyDescent="0.2">
      <c r="A287" s="82" t="s">
        <v>476</v>
      </c>
      <c r="B287" s="24" t="s">
        <v>702</v>
      </c>
      <c r="C287" s="24" t="s">
        <v>214</v>
      </c>
      <c r="D287" s="24" t="s">
        <v>216</v>
      </c>
      <c r="E287" s="24" t="s">
        <v>383</v>
      </c>
      <c r="F287" s="24"/>
      <c r="G287" s="42">
        <f>G288+G291</f>
        <v>16820</v>
      </c>
    </row>
    <row r="288" spans="1:7" x14ac:dyDescent="0.2">
      <c r="A288" s="82" t="s">
        <v>475</v>
      </c>
      <c r="B288" s="24" t="s">
        <v>702</v>
      </c>
      <c r="C288" s="24" t="s">
        <v>214</v>
      </c>
      <c r="D288" s="24" t="s">
        <v>216</v>
      </c>
      <c r="E288" s="24" t="s">
        <v>384</v>
      </c>
      <c r="F288" s="24"/>
      <c r="G288" s="42">
        <f>G289</f>
        <v>13870</v>
      </c>
    </row>
    <row r="289" spans="1:7" ht="36" x14ac:dyDescent="0.2">
      <c r="A289" s="84" t="s">
        <v>217</v>
      </c>
      <c r="B289" s="30" t="s">
        <v>702</v>
      </c>
      <c r="C289" s="30" t="s">
        <v>214</v>
      </c>
      <c r="D289" s="30" t="s">
        <v>216</v>
      </c>
      <c r="E289" s="30" t="s">
        <v>384</v>
      </c>
      <c r="F289" s="30" t="s">
        <v>218</v>
      </c>
      <c r="G289" s="41">
        <f>G290</f>
        <v>13870</v>
      </c>
    </row>
    <row r="290" spans="1:7" x14ac:dyDescent="0.2">
      <c r="A290" s="84" t="s">
        <v>219</v>
      </c>
      <c r="B290" s="30" t="s">
        <v>702</v>
      </c>
      <c r="C290" s="30" t="s">
        <v>214</v>
      </c>
      <c r="D290" s="30" t="s">
        <v>216</v>
      </c>
      <c r="E290" s="30" t="s">
        <v>384</v>
      </c>
      <c r="F290" s="30" t="s">
        <v>224</v>
      </c>
      <c r="G290" s="41">
        <f>10650+3220</f>
        <v>13870</v>
      </c>
    </row>
    <row r="291" spans="1:7" x14ac:dyDescent="0.2">
      <c r="A291" s="80" t="s">
        <v>225</v>
      </c>
      <c r="B291" s="24" t="s">
        <v>702</v>
      </c>
      <c r="C291" s="24" t="s">
        <v>214</v>
      </c>
      <c r="D291" s="24" t="s">
        <v>216</v>
      </c>
      <c r="E291" s="24" t="s">
        <v>385</v>
      </c>
      <c r="F291" s="24"/>
      <c r="G291" s="42">
        <f>G292+G294</f>
        <v>2950</v>
      </c>
    </row>
    <row r="292" spans="1:7" x14ac:dyDescent="0.2">
      <c r="A292" s="84" t="s">
        <v>473</v>
      </c>
      <c r="B292" s="30" t="s">
        <v>702</v>
      </c>
      <c r="C292" s="30" t="s">
        <v>214</v>
      </c>
      <c r="D292" s="30" t="s">
        <v>216</v>
      </c>
      <c r="E292" s="30" t="s">
        <v>385</v>
      </c>
      <c r="F292" s="30" t="s">
        <v>226</v>
      </c>
      <c r="G292" s="41">
        <f>G293</f>
        <v>2800</v>
      </c>
    </row>
    <row r="293" spans="1:7" ht="15" customHeight="1" x14ac:dyDescent="0.2">
      <c r="A293" s="84" t="s">
        <v>227</v>
      </c>
      <c r="B293" s="30" t="s">
        <v>702</v>
      </c>
      <c r="C293" s="30" t="s">
        <v>214</v>
      </c>
      <c r="D293" s="30" t="s">
        <v>216</v>
      </c>
      <c r="E293" s="30" t="s">
        <v>385</v>
      </c>
      <c r="F293" s="30" t="s">
        <v>228</v>
      </c>
      <c r="G293" s="41">
        <v>2800</v>
      </c>
    </row>
    <row r="294" spans="1:7" x14ac:dyDescent="0.2">
      <c r="A294" s="84" t="s">
        <v>229</v>
      </c>
      <c r="B294" s="30" t="s">
        <v>702</v>
      </c>
      <c r="C294" s="30" t="s">
        <v>214</v>
      </c>
      <c r="D294" s="30" t="s">
        <v>216</v>
      </c>
      <c r="E294" s="30" t="s">
        <v>385</v>
      </c>
      <c r="F294" s="30" t="s">
        <v>230</v>
      </c>
      <c r="G294" s="41">
        <f>G295</f>
        <v>150</v>
      </c>
    </row>
    <row r="295" spans="1:7" x14ac:dyDescent="0.2">
      <c r="A295" s="84" t="s">
        <v>106</v>
      </c>
      <c r="B295" s="30" t="s">
        <v>702</v>
      </c>
      <c r="C295" s="30" t="s">
        <v>214</v>
      </c>
      <c r="D295" s="30" t="s">
        <v>216</v>
      </c>
      <c r="E295" s="30" t="s">
        <v>385</v>
      </c>
      <c r="F295" s="30" t="s">
        <v>231</v>
      </c>
      <c r="G295" s="41">
        <v>150</v>
      </c>
    </row>
    <row r="296" spans="1:7" x14ac:dyDescent="0.2">
      <c r="A296" s="80" t="s">
        <v>760</v>
      </c>
      <c r="B296" s="24" t="s">
        <v>702</v>
      </c>
      <c r="C296" s="24" t="s">
        <v>214</v>
      </c>
      <c r="D296" s="24" t="s">
        <v>731</v>
      </c>
      <c r="E296" s="24"/>
      <c r="F296" s="24"/>
      <c r="G296" s="117">
        <f>G297</f>
        <v>91.5</v>
      </c>
    </row>
    <row r="297" spans="1:7" x14ac:dyDescent="0.2">
      <c r="A297" s="81" t="s">
        <v>212</v>
      </c>
      <c r="B297" s="25" t="s">
        <v>702</v>
      </c>
      <c r="C297" s="25" t="s">
        <v>214</v>
      </c>
      <c r="D297" s="25" t="s">
        <v>731</v>
      </c>
      <c r="E297" s="25" t="s">
        <v>382</v>
      </c>
      <c r="F297" s="30"/>
      <c r="G297" s="122">
        <f>G298</f>
        <v>91.5</v>
      </c>
    </row>
    <row r="298" spans="1:7" x14ac:dyDescent="0.2">
      <c r="A298" s="82" t="s">
        <v>476</v>
      </c>
      <c r="B298" s="24" t="s">
        <v>702</v>
      </c>
      <c r="C298" s="24" t="s">
        <v>214</v>
      </c>
      <c r="D298" s="24" t="s">
        <v>731</v>
      </c>
      <c r="E298" s="24" t="s">
        <v>383</v>
      </c>
      <c r="F298" s="30"/>
      <c r="G298" s="117">
        <f>G299</f>
        <v>91.5</v>
      </c>
    </row>
    <row r="299" spans="1:7" ht="24.75" customHeight="1" x14ac:dyDescent="0.2">
      <c r="A299" s="80" t="s">
        <v>764</v>
      </c>
      <c r="B299" s="24" t="s">
        <v>702</v>
      </c>
      <c r="C299" s="24" t="s">
        <v>214</v>
      </c>
      <c r="D299" s="24" t="s">
        <v>731</v>
      </c>
      <c r="E299" s="24" t="s">
        <v>559</v>
      </c>
      <c r="F299" s="24"/>
      <c r="G299" s="117">
        <f>G300</f>
        <v>91.5</v>
      </c>
    </row>
    <row r="300" spans="1:7" x14ac:dyDescent="0.2">
      <c r="A300" s="84" t="s">
        <v>473</v>
      </c>
      <c r="B300" s="30" t="s">
        <v>702</v>
      </c>
      <c r="C300" s="30" t="s">
        <v>214</v>
      </c>
      <c r="D300" s="30" t="s">
        <v>731</v>
      </c>
      <c r="E300" s="30" t="s">
        <v>559</v>
      </c>
      <c r="F300" s="30" t="s">
        <v>226</v>
      </c>
      <c r="G300" s="118">
        <f>G301</f>
        <v>91.5</v>
      </c>
    </row>
    <row r="301" spans="1:7" ht="15" customHeight="1" x14ac:dyDescent="0.2">
      <c r="A301" s="84" t="s">
        <v>227</v>
      </c>
      <c r="B301" s="30" t="s">
        <v>702</v>
      </c>
      <c r="C301" s="30" t="s">
        <v>214</v>
      </c>
      <c r="D301" s="30" t="s">
        <v>731</v>
      </c>
      <c r="E301" s="30" t="s">
        <v>559</v>
      </c>
      <c r="F301" s="30" t="s">
        <v>228</v>
      </c>
      <c r="G301" s="118">
        <v>91.5</v>
      </c>
    </row>
    <row r="302" spans="1:7" x14ac:dyDescent="0.2">
      <c r="A302" s="61" t="s">
        <v>509</v>
      </c>
      <c r="B302" s="24" t="s">
        <v>702</v>
      </c>
      <c r="C302" s="24" t="s">
        <v>214</v>
      </c>
      <c r="D302" s="24" t="s">
        <v>235</v>
      </c>
      <c r="E302" s="24"/>
      <c r="F302" s="24"/>
      <c r="G302" s="42">
        <f>G303</f>
        <v>400</v>
      </c>
    </row>
    <row r="303" spans="1:7" ht="27" x14ac:dyDescent="0.2">
      <c r="A303" s="170" t="s">
        <v>196</v>
      </c>
      <c r="B303" s="25" t="s">
        <v>702</v>
      </c>
      <c r="C303" s="25" t="s">
        <v>214</v>
      </c>
      <c r="D303" s="25" t="s">
        <v>235</v>
      </c>
      <c r="E303" s="25" t="s">
        <v>245</v>
      </c>
      <c r="F303" s="25"/>
      <c r="G303" s="45">
        <f>G304</f>
        <v>400</v>
      </c>
    </row>
    <row r="304" spans="1:7" x14ac:dyDescent="0.2">
      <c r="A304" s="61" t="s">
        <v>43</v>
      </c>
      <c r="B304" s="24" t="s">
        <v>702</v>
      </c>
      <c r="C304" s="24" t="s">
        <v>214</v>
      </c>
      <c r="D304" s="24" t="s">
        <v>235</v>
      </c>
      <c r="E304" s="24" t="s">
        <v>46</v>
      </c>
      <c r="F304" s="24"/>
      <c r="G304" s="42">
        <f>G305</f>
        <v>400</v>
      </c>
    </row>
    <row r="305" spans="1:7" x14ac:dyDescent="0.2">
      <c r="A305" s="62" t="s">
        <v>44</v>
      </c>
      <c r="B305" s="25" t="s">
        <v>702</v>
      </c>
      <c r="C305" s="25" t="s">
        <v>214</v>
      </c>
      <c r="D305" s="25" t="s">
        <v>235</v>
      </c>
      <c r="E305" s="25" t="s">
        <v>45</v>
      </c>
      <c r="F305" s="25"/>
      <c r="G305" s="45">
        <f>G306</f>
        <v>400</v>
      </c>
    </row>
    <row r="306" spans="1:7" ht="36" x14ac:dyDescent="0.2">
      <c r="A306" s="84" t="s">
        <v>217</v>
      </c>
      <c r="B306" s="30" t="s">
        <v>702</v>
      </c>
      <c r="C306" s="30" t="s">
        <v>214</v>
      </c>
      <c r="D306" s="30" t="s">
        <v>235</v>
      </c>
      <c r="E306" s="30" t="s">
        <v>45</v>
      </c>
      <c r="F306" s="30" t="s">
        <v>218</v>
      </c>
      <c r="G306" s="41">
        <f>G307</f>
        <v>400</v>
      </c>
    </row>
    <row r="307" spans="1:7" x14ac:dyDescent="0.2">
      <c r="A307" s="84" t="s">
        <v>219</v>
      </c>
      <c r="B307" s="30" t="s">
        <v>702</v>
      </c>
      <c r="C307" s="30" t="s">
        <v>214</v>
      </c>
      <c r="D307" s="30" t="s">
        <v>235</v>
      </c>
      <c r="E307" s="30" t="s">
        <v>45</v>
      </c>
      <c r="F307" s="30" t="s">
        <v>224</v>
      </c>
      <c r="G307" s="41">
        <v>400</v>
      </c>
    </row>
    <row r="308" spans="1:7" x14ac:dyDescent="0.2">
      <c r="A308" s="80" t="s">
        <v>655</v>
      </c>
      <c r="B308" s="24" t="s">
        <v>702</v>
      </c>
      <c r="C308" s="24" t="s">
        <v>216</v>
      </c>
      <c r="D308" s="24" t="s">
        <v>215</v>
      </c>
      <c r="E308" s="24"/>
      <c r="F308" s="24"/>
      <c r="G308" s="42">
        <f>G309</f>
        <v>110.67</v>
      </c>
    </row>
    <row r="309" spans="1:7" x14ac:dyDescent="0.2">
      <c r="A309" s="80" t="s">
        <v>645</v>
      </c>
      <c r="B309" s="24" t="s">
        <v>702</v>
      </c>
      <c r="C309" s="24" t="s">
        <v>216</v>
      </c>
      <c r="D309" s="24" t="s">
        <v>214</v>
      </c>
      <c r="E309" s="24"/>
      <c r="F309" s="24"/>
      <c r="G309" s="42">
        <f>G310</f>
        <v>110.67</v>
      </c>
    </row>
    <row r="310" spans="1:7" ht="24" x14ac:dyDescent="0.2">
      <c r="A310" s="80" t="s">
        <v>646</v>
      </c>
      <c r="B310" s="24" t="s">
        <v>702</v>
      </c>
      <c r="C310" s="24" t="s">
        <v>216</v>
      </c>
      <c r="D310" s="24" t="s">
        <v>214</v>
      </c>
      <c r="E310" s="24" t="s">
        <v>648</v>
      </c>
      <c r="F310" s="24"/>
      <c r="G310" s="42">
        <f>G311</f>
        <v>110.67</v>
      </c>
    </row>
    <row r="311" spans="1:7" ht="36" x14ac:dyDescent="0.2">
      <c r="A311" s="84" t="s">
        <v>217</v>
      </c>
      <c r="B311" s="30" t="s">
        <v>702</v>
      </c>
      <c r="C311" s="30" t="s">
        <v>216</v>
      </c>
      <c r="D311" s="30" t="s">
        <v>214</v>
      </c>
      <c r="E311" s="30" t="s">
        <v>648</v>
      </c>
      <c r="F311" s="30" t="s">
        <v>218</v>
      </c>
      <c r="G311" s="41">
        <f>G312</f>
        <v>110.67</v>
      </c>
    </row>
    <row r="312" spans="1:7" x14ac:dyDescent="0.2">
      <c r="A312" s="84" t="s">
        <v>219</v>
      </c>
      <c r="B312" s="30" t="s">
        <v>702</v>
      </c>
      <c r="C312" s="30" t="s">
        <v>216</v>
      </c>
      <c r="D312" s="30" t="s">
        <v>214</v>
      </c>
      <c r="E312" s="30" t="s">
        <v>648</v>
      </c>
      <c r="F312" s="30" t="s">
        <v>224</v>
      </c>
      <c r="G312" s="41">
        <v>110.67</v>
      </c>
    </row>
    <row r="313" spans="1:7" x14ac:dyDescent="0.2">
      <c r="A313" s="80" t="s">
        <v>667</v>
      </c>
      <c r="B313" s="24" t="s">
        <v>702</v>
      </c>
      <c r="C313" s="24" t="s">
        <v>731</v>
      </c>
      <c r="D313" s="24" t="s">
        <v>215</v>
      </c>
      <c r="E313" s="24"/>
      <c r="F313" s="24"/>
      <c r="G313" s="42">
        <f>G314</f>
        <v>2500</v>
      </c>
    </row>
    <row r="314" spans="1:7" x14ac:dyDescent="0.2">
      <c r="A314" s="80" t="s">
        <v>671</v>
      </c>
      <c r="B314" s="24" t="s">
        <v>702</v>
      </c>
      <c r="C314" s="24" t="s">
        <v>731</v>
      </c>
      <c r="D314" s="24" t="s">
        <v>817</v>
      </c>
      <c r="E314" s="24"/>
      <c r="F314" s="24"/>
      <c r="G314" s="42">
        <f>G315</f>
        <v>2500</v>
      </c>
    </row>
    <row r="315" spans="1:7" ht="27" x14ac:dyDescent="0.2">
      <c r="A315" s="86" t="s">
        <v>439</v>
      </c>
      <c r="B315" s="53" t="s">
        <v>702</v>
      </c>
      <c r="C315" s="53" t="s">
        <v>731</v>
      </c>
      <c r="D315" s="53" t="s">
        <v>817</v>
      </c>
      <c r="E315" s="93" t="s">
        <v>425</v>
      </c>
      <c r="F315" s="53"/>
      <c r="G315" s="57">
        <f>G316</f>
        <v>2500</v>
      </c>
    </row>
    <row r="316" spans="1:7" ht="14.25" customHeight="1" x14ac:dyDescent="0.2">
      <c r="A316" s="80" t="s">
        <v>418</v>
      </c>
      <c r="B316" s="24" t="s">
        <v>702</v>
      </c>
      <c r="C316" s="24" t="s">
        <v>731</v>
      </c>
      <c r="D316" s="24" t="s">
        <v>817</v>
      </c>
      <c r="E316" s="24" t="s">
        <v>41</v>
      </c>
      <c r="F316" s="24"/>
      <c r="G316" s="117">
        <f>G317</f>
        <v>2500</v>
      </c>
    </row>
    <row r="317" spans="1:7" x14ac:dyDescent="0.2">
      <c r="A317" s="84" t="s">
        <v>473</v>
      </c>
      <c r="B317" s="30" t="s">
        <v>702</v>
      </c>
      <c r="C317" s="30" t="s">
        <v>731</v>
      </c>
      <c r="D317" s="30" t="s">
        <v>817</v>
      </c>
      <c r="E317" s="30" t="s">
        <v>41</v>
      </c>
      <c r="F317" s="30" t="s">
        <v>226</v>
      </c>
      <c r="G317" s="118">
        <f>G318</f>
        <v>2500</v>
      </c>
    </row>
    <row r="318" spans="1:7" ht="15" customHeight="1" x14ac:dyDescent="0.2">
      <c r="A318" s="84" t="s">
        <v>227</v>
      </c>
      <c r="B318" s="30" t="s">
        <v>702</v>
      </c>
      <c r="C318" s="30" t="s">
        <v>731</v>
      </c>
      <c r="D318" s="30" t="s">
        <v>817</v>
      </c>
      <c r="E318" s="30" t="s">
        <v>41</v>
      </c>
      <c r="F318" s="30" t="s">
        <v>228</v>
      </c>
      <c r="G318" s="118">
        <f>500+2000</f>
        <v>2500</v>
      </c>
    </row>
    <row r="319" spans="1:7" s="49" customFormat="1" x14ac:dyDescent="0.2">
      <c r="A319" s="80" t="s">
        <v>673</v>
      </c>
      <c r="B319" s="24" t="s">
        <v>702</v>
      </c>
      <c r="C319" s="24" t="s">
        <v>824</v>
      </c>
      <c r="D319" s="24" t="s">
        <v>215</v>
      </c>
      <c r="E319" s="30"/>
      <c r="F319" s="30"/>
      <c r="G319" s="42">
        <f t="shared" ref="G319:G324" si="1">G320</f>
        <v>240</v>
      </c>
    </row>
    <row r="320" spans="1:7" s="49" customFormat="1" x14ac:dyDescent="0.2">
      <c r="A320" s="80" t="s">
        <v>676</v>
      </c>
      <c r="B320" s="24" t="s">
        <v>702</v>
      </c>
      <c r="C320" s="24" t="s">
        <v>824</v>
      </c>
      <c r="D320" s="24" t="s">
        <v>824</v>
      </c>
      <c r="E320" s="24"/>
      <c r="F320" s="24"/>
      <c r="G320" s="42">
        <f t="shared" si="1"/>
        <v>240</v>
      </c>
    </row>
    <row r="321" spans="1:7" s="49" customFormat="1" x14ac:dyDescent="0.2">
      <c r="A321" s="81" t="s">
        <v>212</v>
      </c>
      <c r="B321" s="25" t="s">
        <v>702</v>
      </c>
      <c r="C321" s="25" t="s">
        <v>824</v>
      </c>
      <c r="D321" s="25" t="s">
        <v>824</v>
      </c>
      <c r="E321" s="25" t="s">
        <v>382</v>
      </c>
      <c r="F321" s="25"/>
      <c r="G321" s="45">
        <f t="shared" si="1"/>
        <v>240</v>
      </c>
    </row>
    <row r="322" spans="1:7" s="49" customFormat="1" x14ac:dyDescent="0.2">
      <c r="A322" s="82" t="s">
        <v>476</v>
      </c>
      <c r="B322" s="24" t="s">
        <v>702</v>
      </c>
      <c r="C322" s="24" t="s">
        <v>824</v>
      </c>
      <c r="D322" s="24" t="s">
        <v>824</v>
      </c>
      <c r="E322" s="24" t="s">
        <v>383</v>
      </c>
      <c r="F322" s="24"/>
      <c r="G322" s="42">
        <f t="shared" si="1"/>
        <v>240</v>
      </c>
    </row>
    <row r="323" spans="1:7" s="49" customFormat="1" x14ac:dyDescent="0.2">
      <c r="A323" s="81" t="s">
        <v>514</v>
      </c>
      <c r="B323" s="25" t="s">
        <v>702</v>
      </c>
      <c r="C323" s="25" t="s">
        <v>824</v>
      </c>
      <c r="D323" s="25" t="s">
        <v>824</v>
      </c>
      <c r="E323" s="25" t="s">
        <v>42</v>
      </c>
      <c r="F323" s="25"/>
      <c r="G323" s="45">
        <f t="shared" si="1"/>
        <v>240</v>
      </c>
    </row>
    <row r="324" spans="1:7" s="49" customFormat="1" x14ac:dyDescent="0.2">
      <c r="A324" s="84" t="s">
        <v>473</v>
      </c>
      <c r="B324" s="30" t="s">
        <v>702</v>
      </c>
      <c r="C324" s="30" t="s">
        <v>824</v>
      </c>
      <c r="D324" s="30" t="s">
        <v>824</v>
      </c>
      <c r="E324" s="30" t="s">
        <v>42</v>
      </c>
      <c r="F324" s="30" t="s">
        <v>226</v>
      </c>
      <c r="G324" s="41">
        <f t="shared" si="1"/>
        <v>240</v>
      </c>
    </row>
    <row r="325" spans="1:7" s="49" customFormat="1" ht="15" customHeight="1" x14ac:dyDescent="0.2">
      <c r="A325" s="84" t="s">
        <v>227</v>
      </c>
      <c r="B325" s="30" t="s">
        <v>702</v>
      </c>
      <c r="C325" s="30" t="s">
        <v>824</v>
      </c>
      <c r="D325" s="30" t="s">
        <v>824</v>
      </c>
      <c r="E325" s="30" t="s">
        <v>42</v>
      </c>
      <c r="F325" s="30" t="s">
        <v>228</v>
      </c>
      <c r="G325" s="41">
        <f>375-135</f>
        <v>240</v>
      </c>
    </row>
    <row r="326" spans="1:7" s="49" customFormat="1" x14ac:dyDescent="0.2">
      <c r="A326" s="80" t="s">
        <v>700</v>
      </c>
      <c r="B326" s="24" t="s">
        <v>702</v>
      </c>
      <c r="C326" s="24" t="s">
        <v>107</v>
      </c>
      <c r="D326" s="24" t="s">
        <v>215</v>
      </c>
      <c r="E326" s="24"/>
      <c r="F326" s="24"/>
      <c r="G326" s="42">
        <v>207</v>
      </c>
    </row>
    <row r="327" spans="1:7" s="49" customFormat="1" x14ac:dyDescent="0.2">
      <c r="A327" s="80" t="s">
        <v>687</v>
      </c>
      <c r="B327" s="24" t="s">
        <v>702</v>
      </c>
      <c r="C327" s="24" t="s">
        <v>107</v>
      </c>
      <c r="D327" s="24" t="s">
        <v>817</v>
      </c>
      <c r="E327" s="24"/>
      <c r="F327" s="24"/>
      <c r="G327" s="42">
        <v>207</v>
      </c>
    </row>
    <row r="328" spans="1:7" s="49" customFormat="1" x14ac:dyDescent="0.2">
      <c r="A328" s="83" t="s">
        <v>762</v>
      </c>
      <c r="B328" s="25" t="s">
        <v>702</v>
      </c>
      <c r="C328" s="25" t="s">
        <v>107</v>
      </c>
      <c r="D328" s="25" t="s">
        <v>817</v>
      </c>
      <c r="E328" s="25" t="s">
        <v>382</v>
      </c>
      <c r="F328" s="24"/>
      <c r="G328" s="45">
        <v>207</v>
      </c>
    </row>
    <row r="329" spans="1:7" s="49" customFormat="1" x14ac:dyDescent="0.2">
      <c r="A329" s="80" t="s">
        <v>476</v>
      </c>
      <c r="B329" s="24" t="s">
        <v>702</v>
      </c>
      <c r="C329" s="24" t="s">
        <v>107</v>
      </c>
      <c r="D329" s="24" t="s">
        <v>817</v>
      </c>
      <c r="E329" s="24" t="s">
        <v>383</v>
      </c>
      <c r="F329" s="24"/>
      <c r="G329" s="42">
        <v>207</v>
      </c>
    </row>
    <row r="330" spans="1:7" s="49" customFormat="1" x14ac:dyDescent="0.2">
      <c r="A330" s="80" t="s">
        <v>233</v>
      </c>
      <c r="B330" s="24" t="s">
        <v>702</v>
      </c>
      <c r="C330" s="24" t="s">
        <v>107</v>
      </c>
      <c r="D330" s="24" t="s">
        <v>817</v>
      </c>
      <c r="E330" s="24" t="s">
        <v>512</v>
      </c>
      <c r="F330" s="24"/>
      <c r="G330" s="117">
        <v>207</v>
      </c>
    </row>
    <row r="331" spans="1:7" s="49" customFormat="1" x14ac:dyDescent="0.2">
      <c r="A331" s="84" t="s">
        <v>473</v>
      </c>
      <c r="B331" s="30" t="s">
        <v>702</v>
      </c>
      <c r="C331" s="30" t="s">
        <v>107</v>
      </c>
      <c r="D331" s="30" t="s">
        <v>817</v>
      </c>
      <c r="E331" s="30" t="s">
        <v>512</v>
      </c>
      <c r="F331" s="30" t="s">
        <v>226</v>
      </c>
      <c r="G331" s="118">
        <v>207</v>
      </c>
    </row>
    <row r="332" spans="1:7" s="49" customFormat="1" ht="15" customHeight="1" x14ac:dyDescent="0.2">
      <c r="A332" s="84" t="s">
        <v>227</v>
      </c>
      <c r="B332" s="30" t="s">
        <v>702</v>
      </c>
      <c r="C332" s="30" t="s">
        <v>107</v>
      </c>
      <c r="D332" s="30" t="s">
        <v>817</v>
      </c>
      <c r="E332" s="30" t="s">
        <v>512</v>
      </c>
      <c r="F332" s="30" t="s">
        <v>228</v>
      </c>
      <c r="G332" s="118">
        <v>207</v>
      </c>
    </row>
    <row r="333" spans="1:7" s="49" customFormat="1" ht="31.5" x14ac:dyDescent="0.2">
      <c r="A333" s="79" t="s">
        <v>354</v>
      </c>
      <c r="B333" s="46" t="s">
        <v>353</v>
      </c>
      <c r="C333" s="47"/>
      <c r="D333" s="47"/>
      <c r="E333" s="46"/>
      <c r="F333" s="46"/>
      <c r="G333" s="102">
        <f>G334+G348</f>
        <v>40163.599999999999</v>
      </c>
    </row>
    <row r="334" spans="1:7" s="49" customFormat="1" x14ac:dyDescent="0.2">
      <c r="A334" s="61" t="s">
        <v>673</v>
      </c>
      <c r="B334" s="24" t="s">
        <v>353</v>
      </c>
      <c r="C334" s="24" t="s">
        <v>824</v>
      </c>
      <c r="D334" s="24" t="s">
        <v>215</v>
      </c>
      <c r="E334" s="30"/>
      <c r="F334" s="30"/>
      <c r="G334" s="35">
        <f>G335+G342</f>
        <v>32443.599999999999</v>
      </c>
    </row>
    <row r="335" spans="1:7" s="49" customFormat="1" x14ac:dyDescent="0.2">
      <c r="A335" s="80" t="s">
        <v>449</v>
      </c>
      <c r="B335" s="24" t="s">
        <v>353</v>
      </c>
      <c r="C335" s="24" t="s">
        <v>824</v>
      </c>
      <c r="D335" s="24" t="s">
        <v>817</v>
      </c>
      <c r="E335" s="24"/>
      <c r="F335" s="24"/>
      <c r="G335" s="42">
        <f t="shared" ref="G335:G340" si="2">G336</f>
        <v>29443.599999999999</v>
      </c>
    </row>
    <row r="336" spans="1:7" s="49" customFormat="1" ht="27" x14ac:dyDescent="0.2">
      <c r="A336" s="86" t="s">
        <v>85</v>
      </c>
      <c r="B336" s="53" t="s">
        <v>353</v>
      </c>
      <c r="C336" s="53" t="s">
        <v>824</v>
      </c>
      <c r="D336" s="53" t="s">
        <v>817</v>
      </c>
      <c r="E336" s="53" t="s">
        <v>175</v>
      </c>
      <c r="F336" s="53"/>
      <c r="G336" s="57">
        <f t="shared" si="2"/>
        <v>29443.599999999999</v>
      </c>
    </row>
    <row r="337" spans="1:7" s="49" customFormat="1" ht="25.5" x14ac:dyDescent="0.2">
      <c r="A337" s="68" t="s">
        <v>174</v>
      </c>
      <c r="B337" s="24" t="s">
        <v>353</v>
      </c>
      <c r="C337" s="24" t="s">
        <v>824</v>
      </c>
      <c r="D337" s="24" t="s">
        <v>817</v>
      </c>
      <c r="E337" s="24" t="s">
        <v>176</v>
      </c>
      <c r="F337" s="24"/>
      <c r="G337" s="42">
        <f t="shared" si="2"/>
        <v>29443.599999999999</v>
      </c>
    </row>
    <row r="338" spans="1:7" s="49" customFormat="1" ht="25.5" x14ac:dyDescent="0.2">
      <c r="A338" s="68" t="s">
        <v>177</v>
      </c>
      <c r="B338" s="24" t="s">
        <v>353</v>
      </c>
      <c r="C338" s="24" t="s">
        <v>824</v>
      </c>
      <c r="D338" s="24" t="s">
        <v>817</v>
      </c>
      <c r="E338" s="24" t="s">
        <v>87</v>
      </c>
      <c r="F338" s="24"/>
      <c r="G338" s="42">
        <f t="shared" si="2"/>
        <v>29443.599999999999</v>
      </c>
    </row>
    <row r="339" spans="1:7" s="49" customFormat="1" ht="24" x14ac:dyDescent="0.2">
      <c r="A339" s="105" t="s">
        <v>494</v>
      </c>
      <c r="B339" s="33" t="s">
        <v>353</v>
      </c>
      <c r="C339" s="33" t="s">
        <v>824</v>
      </c>
      <c r="D339" s="33" t="s">
        <v>817</v>
      </c>
      <c r="E339" s="33" t="s">
        <v>87</v>
      </c>
      <c r="F339" s="33"/>
      <c r="G339" s="101">
        <f t="shared" si="2"/>
        <v>29443.599999999999</v>
      </c>
    </row>
    <row r="340" spans="1:7" s="49" customFormat="1" ht="24" x14ac:dyDescent="0.2">
      <c r="A340" s="84" t="s">
        <v>246</v>
      </c>
      <c r="B340" s="30" t="s">
        <v>353</v>
      </c>
      <c r="C340" s="30" t="s">
        <v>824</v>
      </c>
      <c r="D340" s="30" t="s">
        <v>817</v>
      </c>
      <c r="E340" s="30" t="s">
        <v>87</v>
      </c>
      <c r="F340" s="30" t="s">
        <v>702</v>
      </c>
      <c r="G340" s="41">
        <f t="shared" si="2"/>
        <v>29443.599999999999</v>
      </c>
    </row>
    <row r="341" spans="1:7" s="49" customFormat="1" x14ac:dyDescent="0.2">
      <c r="A341" s="84" t="s">
        <v>108</v>
      </c>
      <c r="B341" s="30" t="s">
        <v>353</v>
      </c>
      <c r="C341" s="30" t="s">
        <v>824</v>
      </c>
      <c r="D341" s="30" t="s">
        <v>817</v>
      </c>
      <c r="E341" s="30" t="s">
        <v>87</v>
      </c>
      <c r="F341" s="30" t="s">
        <v>109</v>
      </c>
      <c r="G341" s="41">
        <v>29443.599999999999</v>
      </c>
    </row>
    <row r="342" spans="1:7" s="49" customFormat="1" x14ac:dyDescent="0.2">
      <c r="A342" s="80" t="s">
        <v>676</v>
      </c>
      <c r="B342" s="24" t="s">
        <v>353</v>
      </c>
      <c r="C342" s="24" t="s">
        <v>824</v>
      </c>
      <c r="D342" s="24" t="s">
        <v>824</v>
      </c>
      <c r="E342" s="30"/>
      <c r="F342" s="30"/>
      <c r="G342" s="42">
        <f>G343</f>
        <v>3000</v>
      </c>
    </row>
    <row r="343" spans="1:7" s="49" customFormat="1" ht="27" x14ac:dyDescent="0.2">
      <c r="A343" s="86" t="s">
        <v>85</v>
      </c>
      <c r="B343" s="53" t="s">
        <v>353</v>
      </c>
      <c r="C343" s="53" t="s">
        <v>824</v>
      </c>
      <c r="D343" s="53" t="s">
        <v>824</v>
      </c>
      <c r="E343" s="53" t="s">
        <v>175</v>
      </c>
      <c r="F343" s="30"/>
      <c r="G343" s="42">
        <f>G344</f>
        <v>3000</v>
      </c>
    </row>
    <row r="344" spans="1:7" s="49" customFormat="1" x14ac:dyDescent="0.2">
      <c r="A344" s="75" t="s">
        <v>178</v>
      </c>
      <c r="B344" s="24" t="s">
        <v>353</v>
      </c>
      <c r="C344" s="24" t="s">
        <v>824</v>
      </c>
      <c r="D344" s="24" t="s">
        <v>824</v>
      </c>
      <c r="E344" s="24" t="s">
        <v>179</v>
      </c>
      <c r="F344" s="24"/>
      <c r="G344" s="42">
        <f>G345</f>
        <v>3000</v>
      </c>
    </row>
    <row r="345" spans="1:7" s="49" customFormat="1" ht="24" x14ac:dyDescent="0.2">
      <c r="A345" s="83" t="s">
        <v>561</v>
      </c>
      <c r="B345" s="25" t="s">
        <v>353</v>
      </c>
      <c r="C345" s="25" t="s">
        <v>824</v>
      </c>
      <c r="D345" s="25" t="s">
        <v>824</v>
      </c>
      <c r="E345" s="25" t="s">
        <v>86</v>
      </c>
      <c r="F345" s="25"/>
      <c r="G345" s="45">
        <f>G346</f>
        <v>3000</v>
      </c>
    </row>
    <row r="346" spans="1:7" s="49" customFormat="1" x14ac:dyDescent="0.2">
      <c r="A346" s="84" t="s">
        <v>473</v>
      </c>
      <c r="B346" s="30" t="s">
        <v>353</v>
      </c>
      <c r="C346" s="30" t="s">
        <v>824</v>
      </c>
      <c r="D346" s="30" t="s">
        <v>824</v>
      </c>
      <c r="E346" s="30" t="s">
        <v>86</v>
      </c>
      <c r="F346" s="30" t="s">
        <v>226</v>
      </c>
      <c r="G346" s="41">
        <f>G347</f>
        <v>3000</v>
      </c>
    </row>
    <row r="347" spans="1:7" s="49" customFormat="1" ht="15" customHeight="1" x14ac:dyDescent="0.2">
      <c r="A347" s="84" t="s">
        <v>227</v>
      </c>
      <c r="B347" s="30" t="s">
        <v>353</v>
      </c>
      <c r="C347" s="30" t="s">
        <v>824</v>
      </c>
      <c r="D347" s="30" t="s">
        <v>824</v>
      </c>
      <c r="E347" s="30" t="s">
        <v>86</v>
      </c>
      <c r="F347" s="30" t="s">
        <v>228</v>
      </c>
      <c r="G347" s="41">
        <v>3000</v>
      </c>
    </row>
    <row r="348" spans="1:7" s="49" customFormat="1" ht="15.75" x14ac:dyDescent="0.2">
      <c r="A348" s="80" t="s">
        <v>691</v>
      </c>
      <c r="B348" s="24" t="s">
        <v>353</v>
      </c>
      <c r="C348" s="24" t="s">
        <v>232</v>
      </c>
      <c r="D348" s="24" t="s">
        <v>215</v>
      </c>
      <c r="E348" s="46"/>
      <c r="F348" s="46"/>
      <c r="G348" s="42">
        <f>G349+G355</f>
        <v>7720</v>
      </c>
    </row>
    <row r="349" spans="1:7" s="49" customFormat="1" ht="15.75" x14ac:dyDescent="0.2">
      <c r="A349" s="80" t="s">
        <v>201</v>
      </c>
      <c r="B349" s="24" t="s">
        <v>353</v>
      </c>
      <c r="C349" s="24" t="s">
        <v>232</v>
      </c>
      <c r="D349" s="24" t="s">
        <v>214</v>
      </c>
      <c r="E349" s="46"/>
      <c r="F349" s="46"/>
      <c r="G349" s="42">
        <f>G350</f>
        <v>4000</v>
      </c>
    </row>
    <row r="350" spans="1:7" s="49" customFormat="1" ht="27" x14ac:dyDescent="0.2">
      <c r="A350" s="86" t="s">
        <v>85</v>
      </c>
      <c r="B350" s="53" t="s">
        <v>353</v>
      </c>
      <c r="C350" s="53" t="s">
        <v>232</v>
      </c>
      <c r="D350" s="53" t="s">
        <v>214</v>
      </c>
      <c r="E350" s="53" t="s">
        <v>175</v>
      </c>
      <c r="F350" s="53"/>
      <c r="G350" s="57">
        <f>G351</f>
        <v>4000</v>
      </c>
    </row>
    <row r="351" spans="1:7" s="49" customFormat="1" ht="24" x14ac:dyDescent="0.2">
      <c r="A351" s="80" t="s">
        <v>202</v>
      </c>
      <c r="B351" s="24" t="s">
        <v>353</v>
      </c>
      <c r="C351" s="24" t="s">
        <v>232</v>
      </c>
      <c r="D351" s="24" t="s">
        <v>214</v>
      </c>
      <c r="E351" s="24" t="s">
        <v>204</v>
      </c>
      <c r="F351" s="46"/>
      <c r="G351" s="42">
        <f>G352</f>
        <v>4000</v>
      </c>
    </row>
    <row r="352" spans="1:7" s="49" customFormat="1" ht="24" x14ac:dyDescent="0.2">
      <c r="A352" s="83" t="s">
        <v>562</v>
      </c>
      <c r="B352" s="25" t="s">
        <v>353</v>
      </c>
      <c r="C352" s="25" t="s">
        <v>232</v>
      </c>
      <c r="D352" s="25" t="s">
        <v>214</v>
      </c>
      <c r="E352" s="25" t="s">
        <v>89</v>
      </c>
      <c r="F352" s="25"/>
      <c r="G352" s="45">
        <f>G353</f>
        <v>4000</v>
      </c>
    </row>
    <row r="353" spans="1:7" s="49" customFormat="1" x14ac:dyDescent="0.2">
      <c r="A353" s="84" t="s">
        <v>473</v>
      </c>
      <c r="B353" s="30" t="s">
        <v>353</v>
      </c>
      <c r="C353" s="30" t="s">
        <v>232</v>
      </c>
      <c r="D353" s="30" t="s">
        <v>214</v>
      </c>
      <c r="E353" s="30" t="s">
        <v>89</v>
      </c>
      <c r="F353" s="30" t="s">
        <v>226</v>
      </c>
      <c r="G353" s="41">
        <f>G354</f>
        <v>4000</v>
      </c>
    </row>
    <row r="354" spans="1:7" s="49" customFormat="1" ht="15" customHeight="1" x14ac:dyDescent="0.2">
      <c r="A354" s="84" t="s">
        <v>227</v>
      </c>
      <c r="B354" s="30" t="s">
        <v>353</v>
      </c>
      <c r="C354" s="30" t="s">
        <v>232</v>
      </c>
      <c r="D354" s="30" t="s">
        <v>214</v>
      </c>
      <c r="E354" s="30" t="s">
        <v>89</v>
      </c>
      <c r="F354" s="30" t="s">
        <v>228</v>
      </c>
      <c r="G354" s="41">
        <v>4000</v>
      </c>
    </row>
    <row r="355" spans="1:7" s="49" customFormat="1" x14ac:dyDescent="0.2">
      <c r="A355" s="80" t="s">
        <v>355</v>
      </c>
      <c r="B355" s="24" t="s">
        <v>353</v>
      </c>
      <c r="C355" s="24" t="s">
        <v>232</v>
      </c>
      <c r="D355" s="24" t="s">
        <v>731</v>
      </c>
      <c r="E355" s="24"/>
      <c r="F355" s="24"/>
      <c r="G355" s="42">
        <f>G356</f>
        <v>3720</v>
      </c>
    </row>
    <row r="356" spans="1:7" s="49" customFormat="1" ht="27" x14ac:dyDescent="0.2">
      <c r="A356" s="86" t="s">
        <v>85</v>
      </c>
      <c r="B356" s="53" t="s">
        <v>353</v>
      </c>
      <c r="C356" s="53" t="s">
        <v>232</v>
      </c>
      <c r="D356" s="53" t="s">
        <v>731</v>
      </c>
      <c r="E356" s="53" t="s">
        <v>175</v>
      </c>
      <c r="F356" s="24"/>
      <c r="G356" s="57">
        <f>G357</f>
        <v>3720</v>
      </c>
    </row>
    <row r="357" spans="1:7" s="49" customFormat="1" ht="15" customHeight="1" x14ac:dyDescent="0.2">
      <c r="A357" s="80" t="s">
        <v>205</v>
      </c>
      <c r="B357" s="24" t="s">
        <v>353</v>
      </c>
      <c r="C357" s="24" t="s">
        <v>232</v>
      </c>
      <c r="D357" s="24" t="s">
        <v>731</v>
      </c>
      <c r="E357" s="24" t="s">
        <v>206</v>
      </c>
      <c r="F357" s="24"/>
      <c r="G357" s="42">
        <f>G358+G362</f>
        <v>3720</v>
      </c>
    </row>
    <row r="358" spans="1:7" s="49" customFormat="1" ht="27" customHeight="1" x14ac:dyDescent="0.2">
      <c r="A358" s="80" t="s">
        <v>501</v>
      </c>
      <c r="B358" s="24" t="s">
        <v>353</v>
      </c>
      <c r="C358" s="24" t="s">
        <v>232</v>
      </c>
      <c r="D358" s="24" t="s">
        <v>731</v>
      </c>
      <c r="E358" s="24" t="s">
        <v>207</v>
      </c>
      <c r="F358" s="24"/>
      <c r="G358" s="42">
        <f>G359</f>
        <v>3635</v>
      </c>
    </row>
    <row r="359" spans="1:7" s="49" customFormat="1" x14ac:dyDescent="0.2">
      <c r="A359" s="81" t="s">
        <v>475</v>
      </c>
      <c r="B359" s="25" t="s">
        <v>353</v>
      </c>
      <c r="C359" s="25" t="s">
        <v>232</v>
      </c>
      <c r="D359" s="25" t="s">
        <v>731</v>
      </c>
      <c r="E359" s="25" t="s">
        <v>207</v>
      </c>
      <c r="F359" s="25"/>
      <c r="G359" s="45">
        <f>G360</f>
        <v>3635</v>
      </c>
    </row>
    <row r="360" spans="1:7" s="49" customFormat="1" ht="36" x14ac:dyDescent="0.2">
      <c r="A360" s="84" t="s">
        <v>217</v>
      </c>
      <c r="B360" s="30" t="s">
        <v>353</v>
      </c>
      <c r="C360" s="30" t="s">
        <v>232</v>
      </c>
      <c r="D360" s="30" t="s">
        <v>731</v>
      </c>
      <c r="E360" s="30" t="s">
        <v>207</v>
      </c>
      <c r="F360" s="30" t="s">
        <v>218</v>
      </c>
      <c r="G360" s="41">
        <f>G361</f>
        <v>3635</v>
      </c>
    </row>
    <row r="361" spans="1:7" s="49" customFormat="1" x14ac:dyDescent="0.2">
      <c r="A361" s="84" t="s">
        <v>219</v>
      </c>
      <c r="B361" s="30" t="s">
        <v>353</v>
      </c>
      <c r="C361" s="30" t="s">
        <v>232</v>
      </c>
      <c r="D361" s="30" t="s">
        <v>731</v>
      </c>
      <c r="E361" s="30" t="s">
        <v>207</v>
      </c>
      <c r="F361" s="30" t="s">
        <v>224</v>
      </c>
      <c r="G361" s="41">
        <f>2740+70+825</f>
        <v>3635</v>
      </c>
    </row>
    <row r="362" spans="1:7" s="49" customFormat="1" x14ac:dyDescent="0.2">
      <c r="A362" s="80" t="s">
        <v>225</v>
      </c>
      <c r="B362" s="24" t="s">
        <v>353</v>
      </c>
      <c r="C362" s="24" t="s">
        <v>232</v>
      </c>
      <c r="D362" s="24" t="s">
        <v>731</v>
      </c>
      <c r="E362" s="24" t="s">
        <v>208</v>
      </c>
      <c r="F362" s="24"/>
      <c r="G362" s="42">
        <f>G363+G365</f>
        <v>85</v>
      </c>
    </row>
    <row r="363" spans="1:7" s="49" customFormat="1" x14ac:dyDescent="0.2">
      <c r="A363" s="84" t="s">
        <v>473</v>
      </c>
      <c r="B363" s="30" t="s">
        <v>353</v>
      </c>
      <c r="C363" s="30" t="s">
        <v>232</v>
      </c>
      <c r="D363" s="30" t="s">
        <v>731</v>
      </c>
      <c r="E363" s="30" t="s">
        <v>208</v>
      </c>
      <c r="F363" s="30" t="s">
        <v>226</v>
      </c>
      <c r="G363" s="41">
        <f>G364</f>
        <v>75</v>
      </c>
    </row>
    <row r="364" spans="1:7" s="49" customFormat="1" ht="15" customHeight="1" x14ac:dyDescent="0.2">
      <c r="A364" s="84" t="s">
        <v>227</v>
      </c>
      <c r="B364" s="30" t="s">
        <v>353</v>
      </c>
      <c r="C364" s="30" t="s">
        <v>232</v>
      </c>
      <c r="D364" s="30" t="s">
        <v>731</v>
      </c>
      <c r="E364" s="30" t="s">
        <v>208</v>
      </c>
      <c r="F364" s="30" t="s">
        <v>228</v>
      </c>
      <c r="G364" s="41">
        <v>75</v>
      </c>
    </row>
    <row r="365" spans="1:7" s="49" customFormat="1" x14ac:dyDescent="0.2">
      <c r="A365" s="84" t="s">
        <v>229</v>
      </c>
      <c r="B365" s="30" t="s">
        <v>353</v>
      </c>
      <c r="C365" s="30" t="s">
        <v>232</v>
      </c>
      <c r="D365" s="30" t="s">
        <v>731</v>
      </c>
      <c r="E365" s="30" t="s">
        <v>208</v>
      </c>
      <c r="F365" s="30" t="s">
        <v>230</v>
      </c>
      <c r="G365" s="41">
        <f>G366</f>
        <v>10</v>
      </c>
    </row>
    <row r="366" spans="1:7" s="49" customFormat="1" x14ac:dyDescent="0.2">
      <c r="A366" s="84" t="s">
        <v>106</v>
      </c>
      <c r="B366" s="30" t="s">
        <v>353</v>
      </c>
      <c r="C366" s="30" t="s">
        <v>232</v>
      </c>
      <c r="D366" s="30" t="s">
        <v>731</v>
      </c>
      <c r="E366" s="30" t="s">
        <v>208</v>
      </c>
      <c r="F366" s="30" t="s">
        <v>231</v>
      </c>
      <c r="G366" s="41">
        <v>10</v>
      </c>
    </row>
    <row r="367" spans="1:7" s="49" customFormat="1" ht="31.5" x14ac:dyDescent="0.2">
      <c r="A367" s="79" t="s">
        <v>327</v>
      </c>
      <c r="B367" s="46" t="s">
        <v>328</v>
      </c>
      <c r="C367" s="30"/>
      <c r="D367" s="30"/>
      <c r="E367" s="30"/>
      <c r="F367" s="30"/>
      <c r="G367" s="102">
        <f>G368+G375</f>
        <v>958979.65933000017</v>
      </c>
    </row>
    <row r="368" spans="1:7" s="49" customFormat="1" x14ac:dyDescent="0.2">
      <c r="A368" s="80" t="s">
        <v>256</v>
      </c>
      <c r="B368" s="24" t="s">
        <v>328</v>
      </c>
      <c r="C368" s="24" t="s">
        <v>214</v>
      </c>
      <c r="D368" s="24" t="s">
        <v>215</v>
      </c>
      <c r="E368" s="24"/>
      <c r="F368" s="24"/>
      <c r="G368" s="42">
        <f t="shared" ref="G368:G373" si="3">G369</f>
        <v>2167</v>
      </c>
    </row>
    <row r="369" spans="1:7" s="49" customFormat="1" x14ac:dyDescent="0.2">
      <c r="A369" s="80" t="s">
        <v>509</v>
      </c>
      <c r="B369" s="24" t="s">
        <v>328</v>
      </c>
      <c r="C369" s="24" t="s">
        <v>214</v>
      </c>
      <c r="D369" s="24" t="s">
        <v>235</v>
      </c>
      <c r="E369" s="24"/>
      <c r="F369" s="24"/>
      <c r="G369" s="42">
        <f t="shared" si="3"/>
        <v>2167</v>
      </c>
    </row>
    <row r="370" spans="1:7" s="49" customFormat="1" x14ac:dyDescent="0.2">
      <c r="A370" s="80" t="s">
        <v>212</v>
      </c>
      <c r="B370" s="24" t="s">
        <v>328</v>
      </c>
      <c r="C370" s="24" t="s">
        <v>214</v>
      </c>
      <c r="D370" s="24" t="s">
        <v>235</v>
      </c>
      <c r="E370" s="43" t="s">
        <v>382</v>
      </c>
      <c r="F370" s="24"/>
      <c r="G370" s="42">
        <f t="shared" si="3"/>
        <v>2167</v>
      </c>
    </row>
    <row r="371" spans="1:7" s="49" customFormat="1" x14ac:dyDescent="0.2">
      <c r="A371" s="80" t="s">
        <v>476</v>
      </c>
      <c r="B371" s="24" t="s">
        <v>328</v>
      </c>
      <c r="C371" s="24" t="s">
        <v>214</v>
      </c>
      <c r="D371" s="24" t="s">
        <v>235</v>
      </c>
      <c r="E371" s="43" t="s">
        <v>383</v>
      </c>
      <c r="F371" s="24"/>
      <c r="G371" s="42">
        <f t="shared" si="3"/>
        <v>2167</v>
      </c>
    </row>
    <row r="372" spans="1:7" s="49" customFormat="1" x14ac:dyDescent="0.2">
      <c r="A372" s="80" t="s">
        <v>510</v>
      </c>
      <c r="B372" s="25" t="s">
        <v>328</v>
      </c>
      <c r="C372" s="25" t="s">
        <v>214</v>
      </c>
      <c r="D372" s="25" t="s">
        <v>235</v>
      </c>
      <c r="E372" s="54" t="s">
        <v>147</v>
      </c>
      <c r="F372" s="25"/>
      <c r="G372" s="45">
        <f t="shared" si="3"/>
        <v>2167</v>
      </c>
    </row>
    <row r="373" spans="1:7" s="49" customFormat="1" x14ac:dyDescent="0.2">
      <c r="A373" s="84" t="s">
        <v>229</v>
      </c>
      <c r="B373" s="30" t="s">
        <v>328</v>
      </c>
      <c r="C373" s="30" t="s">
        <v>214</v>
      </c>
      <c r="D373" s="30" t="s">
        <v>235</v>
      </c>
      <c r="E373" s="40" t="s">
        <v>147</v>
      </c>
      <c r="F373" s="30" t="s">
        <v>230</v>
      </c>
      <c r="G373" s="41">
        <f t="shared" si="3"/>
        <v>2167</v>
      </c>
    </row>
    <row r="374" spans="1:7" s="49" customFormat="1" x14ac:dyDescent="0.2">
      <c r="A374" s="84" t="s">
        <v>306</v>
      </c>
      <c r="B374" s="30" t="s">
        <v>328</v>
      </c>
      <c r="C374" s="30" t="s">
        <v>214</v>
      </c>
      <c r="D374" s="30" t="s">
        <v>235</v>
      </c>
      <c r="E374" s="40" t="s">
        <v>147</v>
      </c>
      <c r="F374" s="30" t="s">
        <v>310</v>
      </c>
      <c r="G374" s="41">
        <v>2167</v>
      </c>
    </row>
    <row r="375" spans="1:7" s="49" customFormat="1" x14ac:dyDescent="0.2">
      <c r="A375" s="80" t="s">
        <v>655</v>
      </c>
      <c r="B375" s="24" t="s">
        <v>328</v>
      </c>
      <c r="C375" s="24" t="s">
        <v>216</v>
      </c>
      <c r="D375" s="24" t="s">
        <v>215</v>
      </c>
      <c r="E375" s="30"/>
      <c r="F375" s="30"/>
      <c r="G375" s="42">
        <f>G376+G394</f>
        <v>956812.65933000017</v>
      </c>
    </row>
    <row r="376" spans="1:7" s="49" customFormat="1" x14ac:dyDescent="0.2">
      <c r="A376" s="80" t="s">
        <v>666</v>
      </c>
      <c r="B376" s="24" t="s">
        <v>328</v>
      </c>
      <c r="C376" s="24" t="s">
        <v>216</v>
      </c>
      <c r="D376" s="24" t="s">
        <v>822</v>
      </c>
      <c r="E376" s="24"/>
      <c r="F376" s="24"/>
      <c r="G376" s="42">
        <f>G377</f>
        <v>65214.5</v>
      </c>
    </row>
    <row r="377" spans="1:7" s="49" customFormat="1" ht="27" x14ac:dyDescent="0.2">
      <c r="A377" s="86" t="s">
        <v>48</v>
      </c>
      <c r="B377" s="53" t="s">
        <v>328</v>
      </c>
      <c r="C377" s="53" t="s">
        <v>216</v>
      </c>
      <c r="D377" s="53" t="s">
        <v>822</v>
      </c>
      <c r="E377" s="53" t="s">
        <v>404</v>
      </c>
      <c r="F377" s="53"/>
      <c r="G377" s="57">
        <f>G378+G387</f>
        <v>65214.5</v>
      </c>
    </row>
    <row r="378" spans="1:7" s="49" customFormat="1" ht="24" x14ac:dyDescent="0.2">
      <c r="A378" s="80" t="s">
        <v>241</v>
      </c>
      <c r="B378" s="24" t="s">
        <v>328</v>
      </c>
      <c r="C378" s="24" t="s">
        <v>216</v>
      </c>
      <c r="D378" s="24" t="s">
        <v>822</v>
      </c>
      <c r="E378" s="24" t="s">
        <v>405</v>
      </c>
      <c r="F378" s="24"/>
      <c r="G378" s="42">
        <f>G379+G382</f>
        <v>5014.5</v>
      </c>
    </row>
    <row r="379" spans="1:7" s="49" customFormat="1" x14ac:dyDescent="0.2">
      <c r="A379" s="82" t="s">
        <v>475</v>
      </c>
      <c r="B379" s="24" t="s">
        <v>328</v>
      </c>
      <c r="C379" s="24" t="s">
        <v>216</v>
      </c>
      <c r="D379" s="24" t="s">
        <v>822</v>
      </c>
      <c r="E379" s="24" t="s">
        <v>525</v>
      </c>
      <c r="F379" s="24"/>
      <c r="G379" s="42">
        <f>G380</f>
        <v>4824.5</v>
      </c>
    </row>
    <row r="380" spans="1:7" s="49" customFormat="1" ht="36" x14ac:dyDescent="0.2">
      <c r="A380" s="84" t="s">
        <v>217</v>
      </c>
      <c r="B380" s="30" t="s">
        <v>328</v>
      </c>
      <c r="C380" s="30" t="s">
        <v>216</v>
      </c>
      <c r="D380" s="30" t="s">
        <v>822</v>
      </c>
      <c r="E380" s="30" t="s">
        <v>525</v>
      </c>
      <c r="F380" s="30" t="s">
        <v>218</v>
      </c>
      <c r="G380" s="41">
        <f>G381</f>
        <v>4824.5</v>
      </c>
    </row>
    <row r="381" spans="1:7" s="49" customFormat="1" x14ac:dyDescent="0.2">
      <c r="A381" s="84" t="s">
        <v>219</v>
      </c>
      <c r="B381" s="30" t="s">
        <v>328</v>
      </c>
      <c r="C381" s="30" t="s">
        <v>216</v>
      </c>
      <c r="D381" s="30" t="s">
        <v>822</v>
      </c>
      <c r="E381" s="30" t="s">
        <v>525</v>
      </c>
      <c r="F381" s="30" t="s">
        <v>224</v>
      </c>
      <c r="G381" s="41">
        <f>3705.5+1119</f>
        <v>4824.5</v>
      </c>
    </row>
    <row r="382" spans="1:7" s="49" customFormat="1" x14ac:dyDescent="0.2">
      <c r="A382" s="80" t="s">
        <v>225</v>
      </c>
      <c r="B382" s="24" t="s">
        <v>328</v>
      </c>
      <c r="C382" s="24" t="s">
        <v>216</v>
      </c>
      <c r="D382" s="24" t="s">
        <v>822</v>
      </c>
      <c r="E382" s="24" t="s">
        <v>526</v>
      </c>
      <c r="F382" s="24"/>
      <c r="G382" s="42">
        <f>G383+G385</f>
        <v>190</v>
      </c>
    </row>
    <row r="383" spans="1:7" s="49" customFormat="1" x14ac:dyDescent="0.2">
      <c r="A383" s="84" t="s">
        <v>473</v>
      </c>
      <c r="B383" s="30" t="s">
        <v>328</v>
      </c>
      <c r="C383" s="30" t="s">
        <v>216</v>
      </c>
      <c r="D383" s="30" t="s">
        <v>822</v>
      </c>
      <c r="E383" s="30" t="s">
        <v>526</v>
      </c>
      <c r="F383" s="30" t="s">
        <v>226</v>
      </c>
      <c r="G383" s="41">
        <f>G384</f>
        <v>187</v>
      </c>
    </row>
    <row r="384" spans="1:7" s="49" customFormat="1" ht="15" customHeight="1" x14ac:dyDescent="0.2">
      <c r="A384" s="84" t="s">
        <v>227</v>
      </c>
      <c r="B384" s="30" t="s">
        <v>328</v>
      </c>
      <c r="C384" s="30" t="s">
        <v>216</v>
      </c>
      <c r="D384" s="30" t="s">
        <v>822</v>
      </c>
      <c r="E384" s="30" t="s">
        <v>526</v>
      </c>
      <c r="F384" s="30" t="s">
        <v>228</v>
      </c>
      <c r="G384" s="41">
        <v>187</v>
      </c>
    </row>
    <row r="385" spans="1:7" s="49" customFormat="1" x14ac:dyDescent="0.2">
      <c r="A385" s="84" t="s">
        <v>229</v>
      </c>
      <c r="B385" s="30" t="s">
        <v>328</v>
      </c>
      <c r="C385" s="30" t="s">
        <v>216</v>
      </c>
      <c r="D385" s="30" t="s">
        <v>822</v>
      </c>
      <c r="E385" s="30" t="s">
        <v>526</v>
      </c>
      <c r="F385" s="30" t="s">
        <v>230</v>
      </c>
      <c r="G385" s="41">
        <f>G386</f>
        <v>3</v>
      </c>
    </row>
    <row r="386" spans="1:7" s="49" customFormat="1" x14ac:dyDescent="0.2">
      <c r="A386" s="84" t="s">
        <v>311</v>
      </c>
      <c r="B386" s="30" t="s">
        <v>328</v>
      </c>
      <c r="C386" s="30" t="s">
        <v>216</v>
      </c>
      <c r="D386" s="30" t="s">
        <v>822</v>
      </c>
      <c r="E386" s="30" t="s">
        <v>526</v>
      </c>
      <c r="F386" s="30" t="s">
        <v>231</v>
      </c>
      <c r="G386" s="41">
        <v>3</v>
      </c>
    </row>
    <row r="387" spans="1:7" s="49" customFormat="1" x14ac:dyDescent="0.2">
      <c r="A387" s="75" t="s">
        <v>527</v>
      </c>
      <c r="B387" s="24" t="s">
        <v>328</v>
      </c>
      <c r="C387" s="24" t="s">
        <v>216</v>
      </c>
      <c r="D387" s="24" t="s">
        <v>822</v>
      </c>
      <c r="E387" s="43" t="s">
        <v>528</v>
      </c>
      <c r="F387" s="25"/>
      <c r="G387" s="42">
        <f>G388+G391</f>
        <v>60200</v>
      </c>
    </row>
    <row r="388" spans="1:7" s="49" customFormat="1" ht="25.5" customHeight="1" x14ac:dyDescent="0.2">
      <c r="A388" s="123" t="s">
        <v>529</v>
      </c>
      <c r="B388" s="25" t="s">
        <v>328</v>
      </c>
      <c r="C388" s="25" t="s">
        <v>216</v>
      </c>
      <c r="D388" s="25" t="s">
        <v>822</v>
      </c>
      <c r="E388" s="54" t="s">
        <v>49</v>
      </c>
      <c r="F388" s="25"/>
      <c r="G388" s="45">
        <f>G389</f>
        <v>60000</v>
      </c>
    </row>
    <row r="389" spans="1:7" s="49" customFormat="1" x14ac:dyDescent="0.2">
      <c r="A389" s="84" t="s">
        <v>229</v>
      </c>
      <c r="B389" s="30" t="s">
        <v>328</v>
      </c>
      <c r="C389" s="30" t="s">
        <v>216</v>
      </c>
      <c r="D389" s="30" t="s">
        <v>822</v>
      </c>
      <c r="E389" s="40" t="s">
        <v>49</v>
      </c>
      <c r="F389" s="30" t="s">
        <v>230</v>
      </c>
      <c r="G389" s="41">
        <f>G390</f>
        <v>60000</v>
      </c>
    </row>
    <row r="390" spans="1:7" s="49" customFormat="1" ht="24" x14ac:dyDescent="0.2">
      <c r="A390" s="84" t="s">
        <v>105</v>
      </c>
      <c r="B390" s="30" t="s">
        <v>328</v>
      </c>
      <c r="C390" s="30" t="s">
        <v>216</v>
      </c>
      <c r="D390" s="30" t="s">
        <v>822</v>
      </c>
      <c r="E390" s="40" t="s">
        <v>49</v>
      </c>
      <c r="F390" s="30" t="s">
        <v>729</v>
      </c>
      <c r="G390" s="41">
        <v>60000</v>
      </c>
    </row>
    <row r="391" spans="1:7" s="49" customFormat="1" ht="48" x14ac:dyDescent="0.2">
      <c r="A391" s="83" t="s">
        <v>150</v>
      </c>
      <c r="B391" s="25" t="s">
        <v>328</v>
      </c>
      <c r="C391" s="25" t="s">
        <v>216</v>
      </c>
      <c r="D391" s="25" t="s">
        <v>822</v>
      </c>
      <c r="E391" s="54" t="s">
        <v>530</v>
      </c>
      <c r="F391" s="25"/>
      <c r="G391" s="45">
        <f>G392</f>
        <v>200</v>
      </c>
    </row>
    <row r="392" spans="1:7" s="49" customFormat="1" x14ac:dyDescent="0.2">
      <c r="A392" s="84" t="s">
        <v>322</v>
      </c>
      <c r="B392" s="30" t="s">
        <v>328</v>
      </c>
      <c r="C392" s="30" t="s">
        <v>216</v>
      </c>
      <c r="D392" s="30" t="s">
        <v>822</v>
      </c>
      <c r="E392" s="40" t="s">
        <v>530</v>
      </c>
      <c r="F392" s="30" t="s">
        <v>226</v>
      </c>
      <c r="G392" s="41">
        <f>G393</f>
        <v>200</v>
      </c>
    </row>
    <row r="393" spans="1:7" s="49" customFormat="1" ht="15" customHeight="1" x14ac:dyDescent="0.2">
      <c r="A393" s="84" t="s">
        <v>227</v>
      </c>
      <c r="B393" s="30" t="s">
        <v>328</v>
      </c>
      <c r="C393" s="30" t="s">
        <v>216</v>
      </c>
      <c r="D393" s="30" t="s">
        <v>822</v>
      </c>
      <c r="E393" s="40" t="s">
        <v>530</v>
      </c>
      <c r="F393" s="30" t="s">
        <v>228</v>
      </c>
      <c r="G393" s="41">
        <f>700-500</f>
        <v>200</v>
      </c>
    </row>
    <row r="394" spans="1:7" s="49" customFormat="1" x14ac:dyDescent="0.2">
      <c r="A394" s="80" t="s">
        <v>690</v>
      </c>
      <c r="B394" s="24" t="s">
        <v>328</v>
      </c>
      <c r="C394" s="24" t="s">
        <v>216</v>
      </c>
      <c r="D394" s="24" t="s">
        <v>818</v>
      </c>
      <c r="E394" s="40"/>
      <c r="F394" s="30"/>
      <c r="G394" s="42">
        <f>G395</f>
        <v>891598.15933000017</v>
      </c>
    </row>
    <row r="395" spans="1:7" s="49" customFormat="1" ht="27" x14ac:dyDescent="0.2">
      <c r="A395" s="86" t="s">
        <v>48</v>
      </c>
      <c r="B395" s="53" t="s">
        <v>328</v>
      </c>
      <c r="C395" s="53" t="s">
        <v>216</v>
      </c>
      <c r="D395" s="53" t="s">
        <v>818</v>
      </c>
      <c r="E395" s="53" t="s">
        <v>404</v>
      </c>
      <c r="F395" s="53"/>
      <c r="G395" s="57">
        <f>G396+G400+G429</f>
        <v>891598.15933000017</v>
      </c>
    </row>
    <row r="396" spans="1:7" s="49" customFormat="1" ht="24" x14ac:dyDescent="0.2">
      <c r="A396" s="80" t="s">
        <v>241</v>
      </c>
      <c r="B396" s="24" t="s">
        <v>328</v>
      </c>
      <c r="C396" s="24" t="s">
        <v>216</v>
      </c>
      <c r="D396" s="24" t="s">
        <v>818</v>
      </c>
      <c r="E396" s="24" t="s">
        <v>405</v>
      </c>
      <c r="F396" s="53"/>
      <c r="G396" s="42">
        <f>G397</f>
        <v>594</v>
      </c>
    </row>
    <row r="397" spans="1:7" s="49" customFormat="1" x14ac:dyDescent="0.2">
      <c r="A397" s="83" t="s">
        <v>396</v>
      </c>
      <c r="B397" s="25" t="s">
        <v>328</v>
      </c>
      <c r="C397" s="25" t="s">
        <v>216</v>
      </c>
      <c r="D397" s="25" t="s">
        <v>818</v>
      </c>
      <c r="E397" s="25" t="s">
        <v>51</v>
      </c>
      <c r="F397" s="25"/>
      <c r="G397" s="45">
        <f>G398</f>
        <v>594</v>
      </c>
    </row>
    <row r="398" spans="1:7" s="49" customFormat="1" x14ac:dyDescent="0.2">
      <c r="A398" s="84" t="s">
        <v>473</v>
      </c>
      <c r="B398" s="30" t="s">
        <v>328</v>
      </c>
      <c r="C398" s="30" t="s">
        <v>216</v>
      </c>
      <c r="D398" s="30" t="s">
        <v>818</v>
      </c>
      <c r="E398" s="30" t="s">
        <v>51</v>
      </c>
      <c r="F398" s="30" t="s">
        <v>226</v>
      </c>
      <c r="G398" s="41">
        <f>G399</f>
        <v>594</v>
      </c>
    </row>
    <row r="399" spans="1:7" s="49" customFormat="1" ht="15" customHeight="1" x14ac:dyDescent="0.2">
      <c r="A399" s="84" t="s">
        <v>227</v>
      </c>
      <c r="B399" s="30" t="s">
        <v>328</v>
      </c>
      <c r="C399" s="30" t="s">
        <v>216</v>
      </c>
      <c r="D399" s="30" t="s">
        <v>818</v>
      </c>
      <c r="E399" s="30" t="s">
        <v>51</v>
      </c>
      <c r="F399" s="30" t="s">
        <v>228</v>
      </c>
      <c r="G399" s="41">
        <v>594</v>
      </c>
    </row>
    <row r="400" spans="1:7" s="49" customFormat="1" ht="24" x14ac:dyDescent="0.2">
      <c r="A400" s="75" t="s">
        <v>531</v>
      </c>
      <c r="B400" s="24" t="s">
        <v>328</v>
      </c>
      <c r="C400" s="24" t="s">
        <v>216</v>
      </c>
      <c r="D400" s="24" t="s">
        <v>818</v>
      </c>
      <c r="E400" s="43" t="s">
        <v>532</v>
      </c>
      <c r="F400" s="24"/>
      <c r="G400" s="42">
        <f>G401+G404+G409+G414+G417+G420+G423+G426</f>
        <v>872085.85933000012</v>
      </c>
    </row>
    <row r="401" spans="1:7" s="49" customFormat="1" ht="24" x14ac:dyDescent="0.2">
      <c r="A401" s="83" t="s">
        <v>407</v>
      </c>
      <c r="B401" s="30" t="s">
        <v>328</v>
      </c>
      <c r="C401" s="30" t="s">
        <v>216</v>
      </c>
      <c r="D401" s="30" t="s">
        <v>818</v>
      </c>
      <c r="E401" s="25" t="s">
        <v>50</v>
      </c>
      <c r="F401" s="25"/>
      <c r="G401" s="45">
        <f>G402</f>
        <v>19252.359329999999</v>
      </c>
    </row>
    <row r="402" spans="1:7" s="49" customFormat="1" x14ac:dyDescent="0.2">
      <c r="A402" s="84" t="s">
        <v>473</v>
      </c>
      <c r="B402" s="30" t="s">
        <v>328</v>
      </c>
      <c r="C402" s="30" t="s">
        <v>216</v>
      </c>
      <c r="D402" s="30" t="s">
        <v>818</v>
      </c>
      <c r="E402" s="30" t="s">
        <v>50</v>
      </c>
      <c r="F402" s="30" t="s">
        <v>226</v>
      </c>
      <c r="G402" s="41">
        <f>G403</f>
        <v>19252.359329999999</v>
      </c>
    </row>
    <row r="403" spans="1:7" s="49" customFormat="1" ht="15" customHeight="1" x14ac:dyDescent="0.2">
      <c r="A403" s="84" t="s">
        <v>227</v>
      </c>
      <c r="B403" s="30" t="s">
        <v>328</v>
      </c>
      <c r="C403" s="30" t="s">
        <v>216</v>
      </c>
      <c r="D403" s="30" t="s">
        <v>818</v>
      </c>
      <c r="E403" s="30" t="s">
        <v>50</v>
      </c>
      <c r="F403" s="30" t="s">
        <v>228</v>
      </c>
      <c r="G403" s="41">
        <f>16929+2323.35933</f>
        <v>19252.359329999999</v>
      </c>
    </row>
    <row r="404" spans="1:7" s="49" customFormat="1" ht="25.5" customHeight="1" x14ac:dyDescent="0.2">
      <c r="A404" s="85" t="s">
        <v>170</v>
      </c>
      <c r="B404" s="25" t="s">
        <v>328</v>
      </c>
      <c r="C404" s="25" t="s">
        <v>216</v>
      </c>
      <c r="D404" s="25" t="s">
        <v>818</v>
      </c>
      <c r="E404" s="25" t="s">
        <v>165</v>
      </c>
      <c r="F404" s="25"/>
      <c r="G404" s="122">
        <f>G405+G407</f>
        <v>231292.7</v>
      </c>
    </row>
    <row r="405" spans="1:7" s="49" customFormat="1" x14ac:dyDescent="0.2">
      <c r="A405" s="84" t="s">
        <v>322</v>
      </c>
      <c r="B405" s="30" t="s">
        <v>328</v>
      </c>
      <c r="C405" s="30" t="s">
        <v>216</v>
      </c>
      <c r="D405" s="30" t="s">
        <v>818</v>
      </c>
      <c r="E405" s="30" t="s">
        <v>165</v>
      </c>
      <c r="F405" s="30" t="s">
        <v>226</v>
      </c>
      <c r="G405" s="118">
        <f>G406</f>
        <v>216900.31400000001</v>
      </c>
    </row>
    <row r="406" spans="1:7" s="49" customFormat="1" ht="15" customHeight="1" x14ac:dyDescent="0.2">
      <c r="A406" s="84" t="s">
        <v>227</v>
      </c>
      <c r="B406" s="30" t="s">
        <v>328</v>
      </c>
      <c r="C406" s="30" t="s">
        <v>216</v>
      </c>
      <c r="D406" s="30" t="s">
        <v>818</v>
      </c>
      <c r="E406" s="30" t="s">
        <v>165</v>
      </c>
      <c r="F406" s="30" t="s">
        <v>228</v>
      </c>
      <c r="G406" s="118">
        <f>134196.9+97095.8-14392.386</f>
        <v>216900.31400000001</v>
      </c>
    </row>
    <row r="407" spans="1:7" s="49" customFormat="1" x14ac:dyDescent="0.2">
      <c r="A407" s="84" t="s">
        <v>394</v>
      </c>
      <c r="B407" s="30" t="s">
        <v>328</v>
      </c>
      <c r="C407" s="30" t="s">
        <v>216</v>
      </c>
      <c r="D407" s="30" t="s">
        <v>818</v>
      </c>
      <c r="E407" s="30" t="s">
        <v>165</v>
      </c>
      <c r="F407" s="30" t="s">
        <v>733</v>
      </c>
      <c r="G407" s="118">
        <f>G408</f>
        <v>14392.386</v>
      </c>
    </row>
    <row r="408" spans="1:7" s="49" customFormat="1" x14ac:dyDescent="0.2">
      <c r="A408" s="84" t="s">
        <v>734</v>
      </c>
      <c r="B408" s="30" t="s">
        <v>328</v>
      </c>
      <c r="C408" s="30" t="s">
        <v>216</v>
      </c>
      <c r="D408" s="30" t="s">
        <v>818</v>
      </c>
      <c r="E408" s="30" t="s">
        <v>165</v>
      </c>
      <c r="F408" s="30" t="s">
        <v>735</v>
      </c>
      <c r="G408" s="118">
        <v>14392.386</v>
      </c>
    </row>
    <row r="409" spans="1:7" s="49" customFormat="1" ht="26.25" customHeight="1" x14ac:dyDescent="0.2">
      <c r="A409" s="83" t="s">
        <v>408</v>
      </c>
      <c r="B409" s="25" t="s">
        <v>328</v>
      </c>
      <c r="C409" s="25" t="s">
        <v>216</v>
      </c>
      <c r="D409" s="25" t="s">
        <v>818</v>
      </c>
      <c r="E409" s="25" t="s">
        <v>166</v>
      </c>
      <c r="F409" s="25"/>
      <c r="G409" s="45">
        <f>G410+G412</f>
        <v>25000</v>
      </c>
    </row>
    <row r="410" spans="1:7" s="49" customFormat="1" x14ac:dyDescent="0.2">
      <c r="A410" s="84" t="s">
        <v>473</v>
      </c>
      <c r="B410" s="30" t="s">
        <v>328</v>
      </c>
      <c r="C410" s="30" t="s">
        <v>216</v>
      </c>
      <c r="D410" s="30" t="s">
        <v>818</v>
      </c>
      <c r="E410" s="30" t="s">
        <v>166</v>
      </c>
      <c r="F410" s="30" t="s">
        <v>226</v>
      </c>
      <c r="G410" s="41">
        <f>G411</f>
        <v>24242.506000000001</v>
      </c>
    </row>
    <row r="411" spans="1:7" s="49" customFormat="1" ht="15" customHeight="1" x14ac:dyDescent="0.2">
      <c r="A411" s="84" t="s">
        <v>227</v>
      </c>
      <c r="B411" s="30" t="s">
        <v>328</v>
      </c>
      <c r="C411" s="30" t="s">
        <v>216</v>
      </c>
      <c r="D411" s="30" t="s">
        <v>818</v>
      </c>
      <c r="E411" s="30" t="s">
        <v>166</v>
      </c>
      <c r="F411" s="30" t="s">
        <v>228</v>
      </c>
      <c r="G411" s="41">
        <f>25000-757.494</f>
        <v>24242.506000000001</v>
      </c>
    </row>
    <row r="412" spans="1:7" s="49" customFormat="1" x14ac:dyDescent="0.2">
      <c r="A412" s="84" t="s">
        <v>394</v>
      </c>
      <c r="B412" s="30" t="s">
        <v>328</v>
      </c>
      <c r="C412" s="30" t="s">
        <v>216</v>
      </c>
      <c r="D412" s="30" t="s">
        <v>818</v>
      </c>
      <c r="E412" s="30" t="s">
        <v>166</v>
      </c>
      <c r="F412" s="30" t="s">
        <v>733</v>
      </c>
      <c r="G412" s="41">
        <f>G413</f>
        <v>757.49400000000003</v>
      </c>
    </row>
    <row r="413" spans="1:7" s="49" customFormat="1" x14ac:dyDescent="0.2">
      <c r="A413" s="84" t="s">
        <v>734</v>
      </c>
      <c r="B413" s="30" t="s">
        <v>328</v>
      </c>
      <c r="C413" s="30" t="s">
        <v>216</v>
      </c>
      <c r="D413" s="30" t="s">
        <v>818</v>
      </c>
      <c r="E413" s="30" t="s">
        <v>166</v>
      </c>
      <c r="F413" s="30" t="s">
        <v>735</v>
      </c>
      <c r="G413" s="41">
        <v>757.49400000000003</v>
      </c>
    </row>
    <row r="414" spans="1:7" s="49" customFormat="1" x14ac:dyDescent="0.2">
      <c r="A414" s="83" t="s">
        <v>396</v>
      </c>
      <c r="B414" s="25" t="s">
        <v>328</v>
      </c>
      <c r="C414" s="25" t="s">
        <v>216</v>
      </c>
      <c r="D414" s="25" t="s">
        <v>818</v>
      </c>
      <c r="E414" s="25" t="s">
        <v>52</v>
      </c>
      <c r="F414" s="25"/>
      <c r="G414" s="45">
        <f>G415</f>
        <v>67833.5</v>
      </c>
    </row>
    <row r="415" spans="1:7" s="49" customFormat="1" x14ac:dyDescent="0.2">
      <c r="A415" s="84" t="s">
        <v>473</v>
      </c>
      <c r="B415" s="30" t="s">
        <v>328</v>
      </c>
      <c r="C415" s="30" t="s">
        <v>216</v>
      </c>
      <c r="D415" s="30" t="s">
        <v>818</v>
      </c>
      <c r="E415" s="30" t="s">
        <v>52</v>
      </c>
      <c r="F415" s="30" t="s">
        <v>226</v>
      </c>
      <c r="G415" s="41">
        <f>G416</f>
        <v>67833.5</v>
      </c>
    </row>
    <row r="416" spans="1:7" s="49" customFormat="1" ht="15" customHeight="1" x14ac:dyDescent="0.2">
      <c r="A416" s="84" t="s">
        <v>227</v>
      </c>
      <c r="B416" s="30" t="s">
        <v>328</v>
      </c>
      <c r="C416" s="30" t="s">
        <v>216</v>
      </c>
      <c r="D416" s="30" t="s">
        <v>818</v>
      </c>
      <c r="E416" s="30" t="s">
        <v>52</v>
      </c>
      <c r="F416" s="30" t="s">
        <v>228</v>
      </c>
      <c r="G416" s="41">
        <f>80000.5-10000-2167</f>
        <v>67833.5</v>
      </c>
    </row>
    <row r="417" spans="1:7" s="49" customFormat="1" x14ac:dyDescent="0.2">
      <c r="A417" s="83" t="s">
        <v>829</v>
      </c>
      <c r="B417" s="25" t="s">
        <v>328</v>
      </c>
      <c r="C417" s="25" t="s">
        <v>216</v>
      </c>
      <c r="D417" s="25" t="s">
        <v>818</v>
      </c>
      <c r="E417" s="25" t="s">
        <v>830</v>
      </c>
      <c r="F417" s="25"/>
      <c r="G417" s="45">
        <f>G418</f>
        <v>10000</v>
      </c>
    </row>
    <row r="418" spans="1:7" s="49" customFormat="1" x14ac:dyDescent="0.2">
      <c r="A418" s="84" t="s">
        <v>473</v>
      </c>
      <c r="B418" s="30" t="s">
        <v>328</v>
      </c>
      <c r="C418" s="30" t="s">
        <v>216</v>
      </c>
      <c r="D418" s="30" t="s">
        <v>818</v>
      </c>
      <c r="E418" s="30" t="s">
        <v>830</v>
      </c>
      <c r="F418" s="30" t="s">
        <v>226</v>
      </c>
      <c r="G418" s="41">
        <f>G419</f>
        <v>10000</v>
      </c>
    </row>
    <row r="419" spans="1:7" s="49" customFormat="1" ht="15" customHeight="1" x14ac:dyDescent="0.2">
      <c r="A419" s="84" t="s">
        <v>227</v>
      </c>
      <c r="B419" s="30" t="s">
        <v>328</v>
      </c>
      <c r="C419" s="30" t="s">
        <v>216</v>
      </c>
      <c r="D419" s="30" t="s">
        <v>818</v>
      </c>
      <c r="E419" s="30" t="s">
        <v>830</v>
      </c>
      <c r="F419" s="30" t="s">
        <v>228</v>
      </c>
      <c r="G419" s="41">
        <v>10000</v>
      </c>
    </row>
    <row r="420" spans="1:7" s="49" customFormat="1" ht="36" x14ac:dyDescent="0.2">
      <c r="A420" s="80" t="s">
        <v>22</v>
      </c>
      <c r="B420" s="24" t="s">
        <v>328</v>
      </c>
      <c r="C420" s="24" t="s">
        <v>490</v>
      </c>
      <c r="D420" s="24" t="s">
        <v>818</v>
      </c>
      <c r="E420" s="24" t="s">
        <v>20</v>
      </c>
      <c r="F420" s="24"/>
      <c r="G420" s="42">
        <f>G421</f>
        <v>400000</v>
      </c>
    </row>
    <row r="421" spans="1:7" s="49" customFormat="1" x14ac:dyDescent="0.2">
      <c r="A421" s="84" t="s">
        <v>473</v>
      </c>
      <c r="B421" s="30" t="s">
        <v>328</v>
      </c>
      <c r="C421" s="30" t="s">
        <v>216</v>
      </c>
      <c r="D421" s="30" t="s">
        <v>818</v>
      </c>
      <c r="E421" s="30" t="s">
        <v>20</v>
      </c>
      <c r="F421" s="30" t="s">
        <v>226</v>
      </c>
      <c r="G421" s="41">
        <f>G422</f>
        <v>400000</v>
      </c>
    </row>
    <row r="422" spans="1:7" s="49" customFormat="1" ht="15" customHeight="1" x14ac:dyDescent="0.2">
      <c r="A422" s="84" t="s">
        <v>227</v>
      </c>
      <c r="B422" s="30" t="s">
        <v>328</v>
      </c>
      <c r="C422" s="30" t="s">
        <v>216</v>
      </c>
      <c r="D422" s="30" t="s">
        <v>818</v>
      </c>
      <c r="E422" s="30" t="s">
        <v>20</v>
      </c>
      <c r="F422" s="30" t="s">
        <v>228</v>
      </c>
      <c r="G422" s="41">
        <f>400000</f>
        <v>400000</v>
      </c>
    </row>
    <row r="423" spans="1:7" s="49" customFormat="1" ht="24" x14ac:dyDescent="0.2">
      <c r="A423" s="80" t="s">
        <v>23</v>
      </c>
      <c r="B423" s="24" t="s">
        <v>328</v>
      </c>
      <c r="C423" s="24" t="s">
        <v>490</v>
      </c>
      <c r="D423" s="24" t="s">
        <v>818</v>
      </c>
      <c r="E423" s="24" t="s">
        <v>24</v>
      </c>
      <c r="F423" s="24"/>
      <c r="G423" s="42">
        <f>G424</f>
        <v>115635</v>
      </c>
    </row>
    <row r="424" spans="1:7" s="49" customFormat="1" x14ac:dyDescent="0.2">
      <c r="A424" s="84" t="s">
        <v>473</v>
      </c>
      <c r="B424" s="30" t="s">
        <v>328</v>
      </c>
      <c r="C424" s="30" t="s">
        <v>216</v>
      </c>
      <c r="D424" s="30" t="s">
        <v>818</v>
      </c>
      <c r="E424" s="30" t="s">
        <v>24</v>
      </c>
      <c r="F424" s="30" t="s">
        <v>226</v>
      </c>
      <c r="G424" s="41">
        <f>G425</f>
        <v>115635</v>
      </c>
    </row>
    <row r="425" spans="1:7" s="49" customFormat="1" ht="15" customHeight="1" x14ac:dyDescent="0.2">
      <c r="A425" s="84" t="s">
        <v>227</v>
      </c>
      <c r="B425" s="30" t="s">
        <v>328</v>
      </c>
      <c r="C425" s="30" t="s">
        <v>216</v>
      </c>
      <c r="D425" s="30" t="s">
        <v>818</v>
      </c>
      <c r="E425" s="30" t="s">
        <v>24</v>
      </c>
      <c r="F425" s="30" t="s">
        <v>228</v>
      </c>
      <c r="G425" s="41">
        <v>115635</v>
      </c>
    </row>
    <row r="426" spans="1:7" s="49" customFormat="1" ht="38.25" customHeight="1" x14ac:dyDescent="0.2">
      <c r="A426" s="61" t="s">
        <v>25</v>
      </c>
      <c r="B426" s="24" t="s">
        <v>328</v>
      </c>
      <c r="C426" s="24" t="s">
        <v>216</v>
      </c>
      <c r="D426" s="24" t="s">
        <v>818</v>
      </c>
      <c r="E426" s="24" t="s">
        <v>26</v>
      </c>
      <c r="F426" s="24"/>
      <c r="G426" s="117">
        <f>G427</f>
        <v>3072.3</v>
      </c>
    </row>
    <row r="427" spans="1:7" s="49" customFormat="1" x14ac:dyDescent="0.2">
      <c r="A427" s="84" t="s">
        <v>473</v>
      </c>
      <c r="B427" s="30" t="s">
        <v>328</v>
      </c>
      <c r="C427" s="30" t="s">
        <v>216</v>
      </c>
      <c r="D427" s="30" t="s">
        <v>818</v>
      </c>
      <c r="E427" s="30" t="s">
        <v>26</v>
      </c>
      <c r="F427" s="30" t="s">
        <v>226</v>
      </c>
      <c r="G427" s="118">
        <f>G428</f>
        <v>3072.3</v>
      </c>
    </row>
    <row r="428" spans="1:7" s="49" customFormat="1" ht="15" customHeight="1" x14ac:dyDescent="0.2">
      <c r="A428" s="84" t="s">
        <v>227</v>
      </c>
      <c r="B428" s="30" t="s">
        <v>328</v>
      </c>
      <c r="C428" s="30" t="s">
        <v>216</v>
      </c>
      <c r="D428" s="30" t="s">
        <v>818</v>
      </c>
      <c r="E428" s="30" t="s">
        <v>26</v>
      </c>
      <c r="F428" s="30" t="s">
        <v>228</v>
      </c>
      <c r="G428" s="118">
        <f>3072.3</f>
        <v>3072.3</v>
      </c>
    </row>
    <row r="429" spans="1:7" s="49" customFormat="1" ht="14.25" customHeight="1" x14ac:dyDescent="0.2">
      <c r="A429" s="80" t="s">
        <v>763</v>
      </c>
      <c r="B429" s="24" t="s">
        <v>328</v>
      </c>
      <c r="C429" s="24" t="s">
        <v>216</v>
      </c>
      <c r="D429" s="24" t="s">
        <v>818</v>
      </c>
      <c r="E429" s="24" t="s">
        <v>524</v>
      </c>
      <c r="F429" s="24"/>
      <c r="G429" s="42">
        <f>G430+G438</f>
        <v>18918.3</v>
      </c>
    </row>
    <row r="430" spans="1:7" s="49" customFormat="1" x14ac:dyDescent="0.2">
      <c r="A430" s="105" t="s">
        <v>533</v>
      </c>
      <c r="B430" s="33" t="s">
        <v>328</v>
      </c>
      <c r="C430" s="33" t="s">
        <v>216</v>
      </c>
      <c r="D430" s="33" t="s">
        <v>818</v>
      </c>
      <c r="E430" s="55" t="s">
        <v>53</v>
      </c>
      <c r="F430" s="33"/>
      <c r="G430" s="101">
        <f>G431</f>
        <v>4182.3</v>
      </c>
    </row>
    <row r="431" spans="1:7" s="49" customFormat="1" x14ac:dyDescent="0.2">
      <c r="A431" s="80" t="s">
        <v>819</v>
      </c>
      <c r="B431" s="24" t="s">
        <v>328</v>
      </c>
      <c r="C431" s="24" t="s">
        <v>216</v>
      </c>
      <c r="D431" s="24" t="s">
        <v>818</v>
      </c>
      <c r="E431" s="24" t="s">
        <v>53</v>
      </c>
      <c r="F431" s="24"/>
      <c r="G431" s="42">
        <f>G432+G434+G436</f>
        <v>4182.3</v>
      </c>
    </row>
    <row r="432" spans="1:7" s="49" customFormat="1" ht="36" x14ac:dyDescent="0.2">
      <c r="A432" s="84" t="s">
        <v>217</v>
      </c>
      <c r="B432" s="30" t="s">
        <v>328</v>
      </c>
      <c r="C432" s="30" t="s">
        <v>216</v>
      </c>
      <c r="D432" s="30" t="s">
        <v>818</v>
      </c>
      <c r="E432" s="30" t="s">
        <v>53</v>
      </c>
      <c r="F432" s="30" t="s">
        <v>218</v>
      </c>
      <c r="G432" s="41">
        <f>G433</f>
        <v>3728.3</v>
      </c>
    </row>
    <row r="433" spans="1:8" s="49" customFormat="1" x14ac:dyDescent="0.2">
      <c r="A433" s="84" t="s">
        <v>820</v>
      </c>
      <c r="B433" s="30" t="s">
        <v>328</v>
      </c>
      <c r="C433" s="30" t="s">
        <v>216</v>
      </c>
      <c r="D433" s="30" t="s">
        <v>818</v>
      </c>
      <c r="E433" s="30" t="s">
        <v>53</v>
      </c>
      <c r="F433" s="30" t="s">
        <v>821</v>
      </c>
      <c r="G433" s="41">
        <f>2863.5+864.8</f>
        <v>3728.3</v>
      </c>
    </row>
    <row r="434" spans="1:8" s="49" customFormat="1" x14ac:dyDescent="0.2">
      <c r="A434" s="84" t="s">
        <v>473</v>
      </c>
      <c r="B434" s="30" t="s">
        <v>328</v>
      </c>
      <c r="C434" s="30" t="s">
        <v>216</v>
      </c>
      <c r="D434" s="30" t="s">
        <v>818</v>
      </c>
      <c r="E434" s="30" t="s">
        <v>53</v>
      </c>
      <c r="F434" s="30" t="s">
        <v>226</v>
      </c>
      <c r="G434" s="41">
        <f>G435</f>
        <v>410.72550999999999</v>
      </c>
    </row>
    <row r="435" spans="1:8" s="49" customFormat="1" ht="15" customHeight="1" x14ac:dyDescent="0.2">
      <c r="A435" s="84" t="s">
        <v>227</v>
      </c>
      <c r="B435" s="30" t="s">
        <v>328</v>
      </c>
      <c r="C435" s="30" t="s">
        <v>216</v>
      </c>
      <c r="D435" s="30" t="s">
        <v>818</v>
      </c>
      <c r="E435" s="30" t="s">
        <v>53</v>
      </c>
      <c r="F435" s="30" t="s">
        <v>228</v>
      </c>
      <c r="G435" s="41">
        <f>419-0.07549-8.199</f>
        <v>410.72550999999999</v>
      </c>
    </row>
    <row r="436" spans="1:8" s="49" customFormat="1" x14ac:dyDescent="0.2">
      <c r="A436" s="84" t="s">
        <v>229</v>
      </c>
      <c r="B436" s="30" t="s">
        <v>328</v>
      </c>
      <c r="C436" s="30" t="s">
        <v>216</v>
      </c>
      <c r="D436" s="30" t="s">
        <v>818</v>
      </c>
      <c r="E436" s="30" t="s">
        <v>53</v>
      </c>
      <c r="F436" s="30" t="s">
        <v>230</v>
      </c>
      <c r="G436" s="41">
        <f>G437</f>
        <v>43.27449</v>
      </c>
    </row>
    <row r="437" spans="1:8" s="49" customFormat="1" x14ac:dyDescent="0.2">
      <c r="A437" s="84" t="s">
        <v>311</v>
      </c>
      <c r="B437" s="30" t="s">
        <v>328</v>
      </c>
      <c r="C437" s="30" t="s">
        <v>216</v>
      </c>
      <c r="D437" s="30" t="s">
        <v>818</v>
      </c>
      <c r="E437" s="30" t="s">
        <v>53</v>
      </c>
      <c r="F437" s="30" t="s">
        <v>231</v>
      </c>
      <c r="G437" s="41">
        <f>35+0.07549+8.199</f>
        <v>43.27449</v>
      </c>
    </row>
    <row r="438" spans="1:8" s="49" customFormat="1" x14ac:dyDescent="0.2">
      <c r="A438" s="123" t="s">
        <v>534</v>
      </c>
      <c r="B438" s="25" t="s">
        <v>328</v>
      </c>
      <c r="C438" s="25" t="s">
        <v>216</v>
      </c>
      <c r="D438" s="25" t="s">
        <v>818</v>
      </c>
      <c r="E438" s="54" t="s">
        <v>54</v>
      </c>
      <c r="F438" s="25"/>
      <c r="G438" s="45">
        <f>G439</f>
        <v>14736</v>
      </c>
    </row>
    <row r="439" spans="1:8" s="49" customFormat="1" ht="24" x14ac:dyDescent="0.2">
      <c r="A439" s="84" t="s">
        <v>246</v>
      </c>
      <c r="B439" s="30" t="s">
        <v>328</v>
      </c>
      <c r="C439" s="30" t="s">
        <v>216</v>
      </c>
      <c r="D439" s="30" t="s">
        <v>818</v>
      </c>
      <c r="E439" s="30" t="s">
        <v>54</v>
      </c>
      <c r="F439" s="30" t="s">
        <v>702</v>
      </c>
      <c r="G439" s="41">
        <f>G440</f>
        <v>14736</v>
      </c>
    </row>
    <row r="440" spans="1:8" s="49" customFormat="1" x14ac:dyDescent="0.2">
      <c r="A440" s="84" t="s">
        <v>247</v>
      </c>
      <c r="B440" s="30" t="s">
        <v>328</v>
      </c>
      <c r="C440" s="30" t="s">
        <v>216</v>
      </c>
      <c r="D440" s="30" t="s">
        <v>818</v>
      </c>
      <c r="E440" s="30" t="s">
        <v>54</v>
      </c>
      <c r="F440" s="30" t="s">
        <v>724</v>
      </c>
      <c r="G440" s="41">
        <f>12456+2280</f>
        <v>14736</v>
      </c>
    </row>
    <row r="441" spans="1:8" ht="31.5" x14ac:dyDescent="0.2">
      <c r="A441" s="79" t="s">
        <v>707</v>
      </c>
      <c r="B441" s="46">
        <v>603</v>
      </c>
      <c r="C441" s="47"/>
      <c r="D441" s="47"/>
      <c r="E441" s="47"/>
      <c r="F441" s="47"/>
      <c r="G441" s="102">
        <f>G442+G462</f>
        <v>220407.31941</v>
      </c>
    </row>
    <row r="442" spans="1:8" s="48" customFormat="1" x14ac:dyDescent="0.2">
      <c r="A442" s="80" t="s">
        <v>673</v>
      </c>
      <c r="B442" s="24">
        <v>603</v>
      </c>
      <c r="C442" s="24" t="s">
        <v>824</v>
      </c>
      <c r="D442" s="24" t="s">
        <v>215</v>
      </c>
      <c r="E442" s="24"/>
      <c r="F442" s="24"/>
      <c r="G442" s="42">
        <f>G443+G450</f>
        <v>94373.4</v>
      </c>
    </row>
    <row r="443" spans="1:8" s="48" customFormat="1" x14ac:dyDescent="0.2">
      <c r="A443" s="80" t="s">
        <v>449</v>
      </c>
      <c r="B443" s="24">
        <v>603</v>
      </c>
      <c r="C443" s="24" t="s">
        <v>824</v>
      </c>
      <c r="D443" s="24" t="s">
        <v>817</v>
      </c>
      <c r="E443" s="24"/>
      <c r="F443" s="24"/>
      <c r="G443" s="42">
        <f t="shared" ref="G443:G448" si="4">G444</f>
        <v>91873.4</v>
      </c>
    </row>
    <row r="444" spans="1:8" s="48" customFormat="1" ht="27" x14ac:dyDescent="0.2">
      <c r="A444" s="86" t="s">
        <v>548</v>
      </c>
      <c r="B444" s="53" t="s">
        <v>703</v>
      </c>
      <c r="C444" s="53" t="s">
        <v>824</v>
      </c>
      <c r="D444" s="53" t="s">
        <v>817</v>
      </c>
      <c r="E444" s="53" t="s">
        <v>427</v>
      </c>
      <c r="F444" s="53"/>
      <c r="G444" s="57">
        <f t="shared" si="4"/>
        <v>91873.4</v>
      </c>
      <c r="H444" s="115" t="e">
        <f>#REF!-G444</f>
        <v>#REF!</v>
      </c>
    </row>
    <row r="445" spans="1:8" s="48" customFormat="1" ht="24" x14ac:dyDescent="0.2">
      <c r="A445" s="80" t="s">
        <v>651</v>
      </c>
      <c r="B445" s="24" t="s">
        <v>703</v>
      </c>
      <c r="C445" s="24" t="s">
        <v>824</v>
      </c>
      <c r="D445" s="24" t="s">
        <v>817</v>
      </c>
      <c r="E445" s="24" t="s">
        <v>428</v>
      </c>
      <c r="F445" s="24"/>
      <c r="G445" s="42">
        <f t="shared" si="4"/>
        <v>91873.4</v>
      </c>
      <c r="H445" s="35" t="e">
        <f>#REF!-G445</f>
        <v>#REF!</v>
      </c>
    </row>
    <row r="446" spans="1:8" s="48" customFormat="1" ht="24" x14ac:dyDescent="0.2">
      <c r="A446" s="80" t="s">
        <v>652</v>
      </c>
      <c r="B446" s="24" t="s">
        <v>703</v>
      </c>
      <c r="C446" s="24" t="s">
        <v>824</v>
      </c>
      <c r="D446" s="24" t="s">
        <v>817</v>
      </c>
      <c r="E446" s="24" t="s">
        <v>90</v>
      </c>
      <c r="F446" s="24"/>
      <c r="G446" s="42">
        <f t="shared" si="4"/>
        <v>91873.4</v>
      </c>
      <c r="H446" s="35" t="e">
        <f>#REF!-G446</f>
        <v>#REF!</v>
      </c>
    </row>
    <row r="447" spans="1:8" s="48" customFormat="1" ht="24" x14ac:dyDescent="0.2">
      <c r="A447" s="85" t="s">
        <v>494</v>
      </c>
      <c r="B447" s="33" t="s">
        <v>703</v>
      </c>
      <c r="C447" s="33" t="s">
        <v>824</v>
      </c>
      <c r="D447" s="33" t="s">
        <v>817</v>
      </c>
      <c r="E447" s="33" t="s">
        <v>90</v>
      </c>
      <c r="F447" s="25"/>
      <c r="G447" s="101">
        <f t="shared" si="4"/>
        <v>91873.4</v>
      </c>
      <c r="H447" s="230" t="e">
        <f>#REF!-G447</f>
        <v>#REF!</v>
      </c>
    </row>
    <row r="448" spans="1:8" s="48" customFormat="1" ht="24" x14ac:dyDescent="0.2">
      <c r="A448" s="84" t="s">
        <v>246</v>
      </c>
      <c r="B448" s="30" t="s">
        <v>703</v>
      </c>
      <c r="C448" s="30" t="s">
        <v>824</v>
      </c>
      <c r="D448" s="30" t="s">
        <v>817</v>
      </c>
      <c r="E448" s="30" t="s">
        <v>90</v>
      </c>
      <c r="F448" s="30" t="s">
        <v>702</v>
      </c>
      <c r="G448" s="41">
        <f t="shared" si="4"/>
        <v>91873.4</v>
      </c>
      <c r="H448" s="116" t="e">
        <f>#REF!-G448</f>
        <v>#REF!</v>
      </c>
    </row>
    <row r="449" spans="1:8" s="48" customFormat="1" x14ac:dyDescent="0.2">
      <c r="A449" s="84" t="s">
        <v>247</v>
      </c>
      <c r="B449" s="30" t="s">
        <v>703</v>
      </c>
      <c r="C449" s="30" t="s">
        <v>824</v>
      </c>
      <c r="D449" s="30" t="s">
        <v>817</v>
      </c>
      <c r="E449" s="30" t="s">
        <v>90</v>
      </c>
      <c r="F449" s="30" t="s">
        <v>724</v>
      </c>
      <c r="G449" s="41">
        <v>91873.4</v>
      </c>
      <c r="H449" s="116" t="e">
        <f>#REF!-G449</f>
        <v>#REF!</v>
      </c>
    </row>
    <row r="450" spans="1:8" s="48" customFormat="1" x14ac:dyDescent="0.2">
      <c r="A450" s="80" t="s">
        <v>676</v>
      </c>
      <c r="B450" s="24" t="s">
        <v>703</v>
      </c>
      <c r="C450" s="24" t="s">
        <v>824</v>
      </c>
      <c r="D450" s="24" t="s">
        <v>824</v>
      </c>
      <c r="E450" s="24"/>
      <c r="F450" s="24"/>
      <c r="G450" s="42">
        <f>G451</f>
        <v>2500</v>
      </c>
      <c r="H450" s="231"/>
    </row>
    <row r="451" spans="1:8" s="48" customFormat="1" ht="27" x14ac:dyDescent="0.2">
      <c r="A451" s="86" t="s">
        <v>548</v>
      </c>
      <c r="B451" s="53" t="s">
        <v>703</v>
      </c>
      <c r="C451" s="53" t="s">
        <v>824</v>
      </c>
      <c r="D451" s="53" t="s">
        <v>824</v>
      </c>
      <c r="E451" s="53" t="s">
        <v>427</v>
      </c>
      <c r="F451" s="53"/>
      <c r="G451" s="57">
        <f>G452</f>
        <v>2500</v>
      </c>
      <c r="H451" s="231"/>
    </row>
    <row r="452" spans="1:8" s="48" customFormat="1" ht="27" x14ac:dyDescent="0.2">
      <c r="A452" s="86" t="s">
        <v>650</v>
      </c>
      <c r="B452" s="53">
        <v>603</v>
      </c>
      <c r="C452" s="53" t="s">
        <v>824</v>
      </c>
      <c r="D452" s="53" t="s">
        <v>824</v>
      </c>
      <c r="E452" s="53" t="s">
        <v>433</v>
      </c>
      <c r="F452" s="53"/>
      <c r="G452" s="57">
        <f>G453+G456+G459</f>
        <v>2500</v>
      </c>
      <c r="H452" s="231"/>
    </row>
    <row r="453" spans="1:8" s="48" customFormat="1" x14ac:dyDescent="0.2">
      <c r="A453" s="75" t="s">
        <v>434</v>
      </c>
      <c r="B453" s="24">
        <v>603</v>
      </c>
      <c r="C453" s="24" t="s">
        <v>824</v>
      </c>
      <c r="D453" s="24" t="s">
        <v>824</v>
      </c>
      <c r="E453" s="24" t="s">
        <v>91</v>
      </c>
      <c r="F453" s="24"/>
      <c r="G453" s="42">
        <f>G454</f>
        <v>1850</v>
      </c>
      <c r="H453" s="231"/>
    </row>
    <row r="454" spans="1:8" s="48" customFormat="1" x14ac:dyDescent="0.2">
      <c r="A454" s="84" t="s">
        <v>473</v>
      </c>
      <c r="B454" s="30" t="s">
        <v>703</v>
      </c>
      <c r="C454" s="30" t="s">
        <v>824</v>
      </c>
      <c r="D454" s="30" t="s">
        <v>824</v>
      </c>
      <c r="E454" s="30" t="s">
        <v>91</v>
      </c>
      <c r="F454" s="30" t="s">
        <v>226</v>
      </c>
      <c r="G454" s="41">
        <f>G455</f>
        <v>1850</v>
      </c>
      <c r="H454" s="231"/>
    </row>
    <row r="455" spans="1:8" s="48" customFormat="1" x14ac:dyDescent="0.2">
      <c r="A455" s="84" t="s">
        <v>227</v>
      </c>
      <c r="B455" s="30" t="s">
        <v>703</v>
      </c>
      <c r="C455" s="30" t="s">
        <v>824</v>
      </c>
      <c r="D455" s="30" t="s">
        <v>824</v>
      </c>
      <c r="E455" s="30" t="s">
        <v>91</v>
      </c>
      <c r="F455" s="30" t="s">
        <v>228</v>
      </c>
      <c r="G455" s="41">
        <v>1850</v>
      </c>
      <c r="H455" s="231"/>
    </row>
    <row r="456" spans="1:8" s="48" customFormat="1" x14ac:dyDescent="0.2">
      <c r="A456" s="75" t="s">
        <v>435</v>
      </c>
      <c r="B456" s="24">
        <v>603</v>
      </c>
      <c r="C456" s="24" t="s">
        <v>824</v>
      </c>
      <c r="D456" s="24" t="s">
        <v>824</v>
      </c>
      <c r="E456" s="24" t="s">
        <v>92</v>
      </c>
      <c r="F456" s="24"/>
      <c r="G456" s="42">
        <f>G457</f>
        <v>150</v>
      </c>
    </row>
    <row r="457" spans="1:8" s="48" customFormat="1" x14ac:dyDescent="0.2">
      <c r="A457" s="84" t="s">
        <v>473</v>
      </c>
      <c r="B457" s="30" t="s">
        <v>703</v>
      </c>
      <c r="C457" s="30" t="s">
        <v>824</v>
      </c>
      <c r="D457" s="30" t="s">
        <v>824</v>
      </c>
      <c r="E457" s="30" t="s">
        <v>92</v>
      </c>
      <c r="F457" s="30" t="s">
        <v>226</v>
      </c>
      <c r="G457" s="41">
        <f>G458</f>
        <v>150</v>
      </c>
    </row>
    <row r="458" spans="1:8" s="48" customFormat="1" x14ac:dyDescent="0.2">
      <c r="A458" s="84" t="s">
        <v>227</v>
      </c>
      <c r="B458" s="30" t="s">
        <v>703</v>
      </c>
      <c r="C458" s="30" t="s">
        <v>824</v>
      </c>
      <c r="D458" s="30" t="s">
        <v>824</v>
      </c>
      <c r="E458" s="30" t="s">
        <v>92</v>
      </c>
      <c r="F458" s="30" t="s">
        <v>228</v>
      </c>
      <c r="G458" s="41">
        <v>150</v>
      </c>
    </row>
    <row r="459" spans="1:8" s="48" customFormat="1" ht="24" x14ac:dyDescent="0.2">
      <c r="A459" s="80" t="s">
        <v>203</v>
      </c>
      <c r="B459" s="24" t="s">
        <v>703</v>
      </c>
      <c r="C459" s="24" t="s">
        <v>824</v>
      </c>
      <c r="D459" s="24" t="s">
        <v>824</v>
      </c>
      <c r="E459" s="24" t="s">
        <v>93</v>
      </c>
      <c r="F459" s="24"/>
      <c r="G459" s="42">
        <f>G460</f>
        <v>500</v>
      </c>
    </row>
    <row r="460" spans="1:8" s="48" customFormat="1" ht="24" x14ac:dyDescent="0.2">
      <c r="A460" s="84" t="s">
        <v>246</v>
      </c>
      <c r="B460" s="30" t="s">
        <v>703</v>
      </c>
      <c r="C460" s="30" t="s">
        <v>824</v>
      </c>
      <c r="D460" s="30" t="s">
        <v>824</v>
      </c>
      <c r="E460" s="30" t="s">
        <v>93</v>
      </c>
      <c r="F460" s="30" t="s">
        <v>702</v>
      </c>
      <c r="G460" s="41">
        <f>G461</f>
        <v>500</v>
      </c>
    </row>
    <row r="461" spans="1:8" s="48" customFormat="1" ht="24" x14ac:dyDescent="0.2">
      <c r="A461" s="172" t="s">
        <v>290</v>
      </c>
      <c r="B461" s="30" t="s">
        <v>703</v>
      </c>
      <c r="C461" s="30" t="s">
        <v>824</v>
      </c>
      <c r="D461" s="30" t="s">
        <v>824</v>
      </c>
      <c r="E461" s="30" t="s">
        <v>93</v>
      </c>
      <c r="F461" s="30" t="s">
        <v>794</v>
      </c>
      <c r="G461" s="41">
        <v>500</v>
      </c>
    </row>
    <row r="462" spans="1:8" s="48" customFormat="1" x14ac:dyDescent="0.2">
      <c r="A462" s="80" t="s">
        <v>689</v>
      </c>
      <c r="B462" s="24">
        <v>603</v>
      </c>
      <c r="C462" s="24" t="s">
        <v>822</v>
      </c>
      <c r="D462" s="24" t="s">
        <v>215</v>
      </c>
      <c r="E462" s="24"/>
      <c r="F462" s="24"/>
      <c r="G462" s="42">
        <f>G463+G480</f>
        <v>126033.91941</v>
      </c>
    </row>
    <row r="463" spans="1:8" s="48" customFormat="1" x14ac:dyDescent="0.2">
      <c r="A463" s="80" t="s">
        <v>678</v>
      </c>
      <c r="B463" s="24">
        <v>603</v>
      </c>
      <c r="C463" s="24" t="s">
        <v>822</v>
      </c>
      <c r="D463" s="24" t="s">
        <v>214</v>
      </c>
      <c r="E463" s="24"/>
      <c r="F463" s="24"/>
      <c r="G463" s="42">
        <f>G464</f>
        <v>101870.11941</v>
      </c>
    </row>
    <row r="464" spans="1:8" s="48" customFormat="1" ht="27" x14ac:dyDescent="0.2">
      <c r="A464" s="86" t="s">
        <v>548</v>
      </c>
      <c r="B464" s="53" t="s">
        <v>703</v>
      </c>
      <c r="C464" s="53" t="s">
        <v>822</v>
      </c>
      <c r="D464" s="53" t="s">
        <v>214</v>
      </c>
      <c r="E464" s="53" t="s">
        <v>427</v>
      </c>
      <c r="F464" s="53"/>
      <c r="G464" s="57">
        <f>G465</f>
        <v>101870.11941</v>
      </c>
    </row>
    <row r="465" spans="1:7" s="48" customFormat="1" ht="24" x14ac:dyDescent="0.2">
      <c r="A465" s="80" t="s">
        <v>651</v>
      </c>
      <c r="B465" s="24" t="s">
        <v>703</v>
      </c>
      <c r="C465" s="24" t="s">
        <v>822</v>
      </c>
      <c r="D465" s="24" t="s">
        <v>214</v>
      </c>
      <c r="E465" s="24" t="s">
        <v>428</v>
      </c>
      <c r="F465" s="24"/>
      <c r="G465" s="42">
        <f>G466+G470+G473+G477</f>
        <v>101870.11941</v>
      </c>
    </row>
    <row r="466" spans="1:7" s="48" customFormat="1" ht="24" x14ac:dyDescent="0.2">
      <c r="A466" s="80" t="s">
        <v>466</v>
      </c>
      <c r="B466" s="24" t="s">
        <v>703</v>
      </c>
      <c r="C466" s="24" t="s">
        <v>822</v>
      </c>
      <c r="D466" s="24" t="s">
        <v>214</v>
      </c>
      <c r="E466" s="24" t="s">
        <v>436</v>
      </c>
      <c r="F466" s="24"/>
      <c r="G466" s="42">
        <f>G467</f>
        <v>29504.621319999998</v>
      </c>
    </row>
    <row r="467" spans="1:7" s="48" customFormat="1" x14ac:dyDescent="0.2">
      <c r="A467" s="85" t="s">
        <v>730</v>
      </c>
      <c r="B467" s="33">
        <v>603</v>
      </c>
      <c r="C467" s="33" t="s">
        <v>822</v>
      </c>
      <c r="D467" s="33" t="s">
        <v>214</v>
      </c>
      <c r="E467" s="33" t="s">
        <v>94</v>
      </c>
      <c r="F467" s="33"/>
      <c r="G467" s="101">
        <f>G468</f>
        <v>29504.621319999998</v>
      </c>
    </row>
    <row r="468" spans="1:7" s="48" customFormat="1" ht="24" x14ac:dyDescent="0.2">
      <c r="A468" s="84" t="s">
        <v>246</v>
      </c>
      <c r="B468" s="30">
        <v>603</v>
      </c>
      <c r="C468" s="30" t="s">
        <v>822</v>
      </c>
      <c r="D468" s="30" t="s">
        <v>214</v>
      </c>
      <c r="E468" s="30" t="s">
        <v>94</v>
      </c>
      <c r="F468" s="30" t="s">
        <v>702</v>
      </c>
      <c r="G468" s="41">
        <f>G469</f>
        <v>29504.621319999998</v>
      </c>
    </row>
    <row r="469" spans="1:7" s="48" customFormat="1" x14ac:dyDescent="0.2">
      <c r="A469" s="84" t="s">
        <v>247</v>
      </c>
      <c r="B469" s="30">
        <v>603</v>
      </c>
      <c r="C469" s="30" t="s">
        <v>822</v>
      </c>
      <c r="D469" s="30" t="s">
        <v>214</v>
      </c>
      <c r="E469" s="30" t="s">
        <v>94</v>
      </c>
      <c r="F469" s="30" t="s">
        <v>724</v>
      </c>
      <c r="G469" s="41">
        <f>11087.1+18417.52132</f>
        <v>29504.621319999998</v>
      </c>
    </row>
    <row r="470" spans="1:7" s="48" customFormat="1" ht="24" x14ac:dyDescent="0.2">
      <c r="A470" s="83" t="s">
        <v>140</v>
      </c>
      <c r="B470" s="25" t="s">
        <v>703</v>
      </c>
      <c r="C470" s="25" t="s">
        <v>822</v>
      </c>
      <c r="D470" s="25" t="s">
        <v>214</v>
      </c>
      <c r="E470" s="25" t="s">
        <v>437</v>
      </c>
      <c r="F470" s="25"/>
      <c r="G470" s="122">
        <f>G471</f>
        <v>38358</v>
      </c>
    </row>
    <row r="471" spans="1:7" s="48" customFormat="1" ht="24" x14ac:dyDescent="0.2">
      <c r="A471" s="84" t="s">
        <v>246</v>
      </c>
      <c r="B471" s="30">
        <v>603</v>
      </c>
      <c r="C471" s="30" t="s">
        <v>822</v>
      </c>
      <c r="D471" s="30" t="s">
        <v>214</v>
      </c>
      <c r="E471" s="30" t="s">
        <v>437</v>
      </c>
      <c r="F471" s="30" t="s">
        <v>702</v>
      </c>
      <c r="G471" s="118">
        <f>G472</f>
        <v>38358</v>
      </c>
    </row>
    <row r="472" spans="1:7" s="48" customFormat="1" x14ac:dyDescent="0.2">
      <c r="A472" s="84" t="s">
        <v>247</v>
      </c>
      <c r="B472" s="30">
        <v>603</v>
      </c>
      <c r="C472" s="30" t="s">
        <v>822</v>
      </c>
      <c r="D472" s="30" t="s">
        <v>214</v>
      </c>
      <c r="E472" s="30" t="s">
        <v>437</v>
      </c>
      <c r="F472" s="30" t="s">
        <v>724</v>
      </c>
      <c r="G472" s="118">
        <f>36758+1600</f>
        <v>38358</v>
      </c>
    </row>
    <row r="473" spans="1:7" s="48" customFormat="1" ht="24" x14ac:dyDescent="0.2">
      <c r="A473" s="80" t="s">
        <v>653</v>
      </c>
      <c r="B473" s="24" t="s">
        <v>703</v>
      </c>
      <c r="C473" s="24" t="s">
        <v>822</v>
      </c>
      <c r="D473" s="24" t="s">
        <v>214</v>
      </c>
      <c r="E473" s="24" t="s">
        <v>438</v>
      </c>
      <c r="F473" s="24"/>
      <c r="G473" s="42">
        <f>G474</f>
        <v>33920.699999999997</v>
      </c>
    </row>
    <row r="474" spans="1:7" s="48" customFormat="1" ht="24" x14ac:dyDescent="0.2">
      <c r="A474" s="85" t="s">
        <v>95</v>
      </c>
      <c r="B474" s="33" t="s">
        <v>703</v>
      </c>
      <c r="C474" s="33" t="s">
        <v>822</v>
      </c>
      <c r="D474" s="33" t="s">
        <v>214</v>
      </c>
      <c r="E474" s="33" t="s">
        <v>96</v>
      </c>
      <c r="F474" s="25"/>
      <c r="G474" s="101">
        <f>G475</f>
        <v>33920.699999999997</v>
      </c>
    </row>
    <row r="475" spans="1:7" s="48" customFormat="1" ht="24" x14ac:dyDescent="0.2">
      <c r="A475" s="84" t="s">
        <v>246</v>
      </c>
      <c r="B475" s="30" t="s">
        <v>703</v>
      </c>
      <c r="C475" s="30" t="s">
        <v>822</v>
      </c>
      <c r="D475" s="30" t="s">
        <v>214</v>
      </c>
      <c r="E475" s="30" t="s">
        <v>96</v>
      </c>
      <c r="F475" s="30" t="s">
        <v>702</v>
      </c>
      <c r="G475" s="41">
        <f>G476</f>
        <v>33920.699999999997</v>
      </c>
    </row>
    <row r="476" spans="1:7" s="48" customFormat="1" x14ac:dyDescent="0.2">
      <c r="A476" s="84" t="s">
        <v>247</v>
      </c>
      <c r="B476" s="30" t="s">
        <v>703</v>
      </c>
      <c r="C476" s="30" t="s">
        <v>822</v>
      </c>
      <c r="D476" s="30" t="s">
        <v>214</v>
      </c>
      <c r="E476" s="30" t="s">
        <v>96</v>
      </c>
      <c r="F476" s="30" t="s">
        <v>724</v>
      </c>
      <c r="G476" s="41">
        <v>33920.699999999997</v>
      </c>
    </row>
    <row r="477" spans="1:7" s="48" customFormat="1" x14ac:dyDescent="0.2">
      <c r="A477" s="80" t="s">
        <v>296</v>
      </c>
      <c r="B477" s="24" t="s">
        <v>292</v>
      </c>
      <c r="C477" s="24" t="s">
        <v>822</v>
      </c>
      <c r="D477" s="24" t="s">
        <v>214</v>
      </c>
      <c r="E477" s="24" t="s">
        <v>293</v>
      </c>
      <c r="F477" s="24"/>
      <c r="G477" s="42">
        <f>G478</f>
        <v>86.798090000000002</v>
      </c>
    </row>
    <row r="478" spans="1:7" s="48" customFormat="1" ht="24" x14ac:dyDescent="0.2">
      <c r="A478" s="84" t="s">
        <v>246</v>
      </c>
      <c r="B478" s="30" t="s">
        <v>292</v>
      </c>
      <c r="C478" s="30" t="s">
        <v>822</v>
      </c>
      <c r="D478" s="30" t="s">
        <v>214</v>
      </c>
      <c r="E478" s="30" t="s">
        <v>293</v>
      </c>
      <c r="F478" s="30" t="s">
        <v>702</v>
      </c>
      <c r="G478" s="41">
        <f>G479</f>
        <v>86.798090000000002</v>
      </c>
    </row>
    <row r="479" spans="1:7" s="48" customFormat="1" x14ac:dyDescent="0.2">
      <c r="A479" s="84" t="s">
        <v>247</v>
      </c>
      <c r="B479" s="30" t="s">
        <v>292</v>
      </c>
      <c r="C479" s="30" t="s">
        <v>822</v>
      </c>
      <c r="D479" s="30" t="s">
        <v>214</v>
      </c>
      <c r="E479" s="30" t="s">
        <v>293</v>
      </c>
      <c r="F479" s="30" t="s">
        <v>724</v>
      </c>
      <c r="G479" s="41">
        <v>86.798090000000002</v>
      </c>
    </row>
    <row r="480" spans="1:7" s="48" customFormat="1" x14ac:dyDescent="0.2">
      <c r="A480" s="80" t="s">
        <v>799</v>
      </c>
      <c r="B480" s="24">
        <v>603</v>
      </c>
      <c r="C480" s="24" t="s">
        <v>822</v>
      </c>
      <c r="D480" s="24" t="s">
        <v>216</v>
      </c>
      <c r="E480" s="24"/>
      <c r="F480" s="24"/>
      <c r="G480" s="42">
        <f>G481</f>
        <v>24163.8</v>
      </c>
    </row>
    <row r="481" spans="1:7" s="48" customFormat="1" ht="27" x14ac:dyDescent="0.2">
      <c r="A481" s="86" t="s">
        <v>548</v>
      </c>
      <c r="B481" s="53">
        <v>603</v>
      </c>
      <c r="C481" s="53" t="s">
        <v>822</v>
      </c>
      <c r="D481" s="53" t="s">
        <v>216</v>
      </c>
      <c r="E481" s="53" t="s">
        <v>427</v>
      </c>
      <c r="F481" s="53"/>
      <c r="G481" s="57">
        <f>G482+G504</f>
        <v>24163.8</v>
      </c>
    </row>
    <row r="482" spans="1:7" s="48" customFormat="1" ht="13.5" x14ac:dyDescent="0.2">
      <c r="A482" s="86" t="s">
        <v>213</v>
      </c>
      <c r="B482" s="53" t="s">
        <v>703</v>
      </c>
      <c r="C482" s="53" t="s">
        <v>822</v>
      </c>
      <c r="D482" s="53" t="s">
        <v>216</v>
      </c>
      <c r="E482" s="53" t="s">
        <v>443</v>
      </c>
      <c r="F482" s="53"/>
      <c r="G482" s="57">
        <f>G483+G486+G489+G492+G495+G498+G501</f>
        <v>20000</v>
      </c>
    </row>
    <row r="483" spans="1:7" s="48" customFormat="1" x14ac:dyDescent="0.2">
      <c r="A483" s="75" t="s">
        <v>251</v>
      </c>
      <c r="B483" s="24" t="s">
        <v>703</v>
      </c>
      <c r="C483" s="24" t="s">
        <v>822</v>
      </c>
      <c r="D483" s="24" t="s">
        <v>216</v>
      </c>
      <c r="E483" s="24" t="s">
        <v>98</v>
      </c>
      <c r="F483" s="25"/>
      <c r="G483" s="42">
        <f>G484</f>
        <v>17950</v>
      </c>
    </row>
    <row r="484" spans="1:7" s="48" customFormat="1" x14ac:dyDescent="0.2">
      <c r="A484" s="84" t="s">
        <v>473</v>
      </c>
      <c r="B484" s="30" t="s">
        <v>703</v>
      </c>
      <c r="C484" s="30" t="s">
        <v>822</v>
      </c>
      <c r="D484" s="30" t="s">
        <v>216</v>
      </c>
      <c r="E484" s="30" t="s">
        <v>98</v>
      </c>
      <c r="F484" s="30" t="s">
        <v>226</v>
      </c>
      <c r="G484" s="41">
        <f>G485</f>
        <v>17950</v>
      </c>
    </row>
    <row r="485" spans="1:7" s="48" customFormat="1" x14ac:dyDescent="0.2">
      <c r="A485" s="84" t="s">
        <v>227</v>
      </c>
      <c r="B485" s="30" t="s">
        <v>703</v>
      </c>
      <c r="C485" s="30" t="s">
        <v>822</v>
      </c>
      <c r="D485" s="30" t="s">
        <v>216</v>
      </c>
      <c r="E485" s="30" t="s">
        <v>98</v>
      </c>
      <c r="F485" s="30" t="s">
        <v>228</v>
      </c>
      <c r="G485" s="41">
        <v>17950</v>
      </c>
    </row>
    <row r="486" spans="1:7" s="48" customFormat="1" ht="13.5" x14ac:dyDescent="0.2">
      <c r="A486" s="129" t="s">
        <v>563</v>
      </c>
      <c r="B486" s="24" t="s">
        <v>703</v>
      </c>
      <c r="C486" s="24" t="s">
        <v>822</v>
      </c>
      <c r="D486" s="24" t="s">
        <v>216</v>
      </c>
      <c r="E486" s="24" t="s">
        <v>97</v>
      </c>
      <c r="F486" s="53"/>
      <c r="G486" s="42">
        <f>G487</f>
        <v>500</v>
      </c>
    </row>
    <row r="487" spans="1:7" s="48" customFormat="1" x14ac:dyDescent="0.2">
      <c r="A487" s="84" t="s">
        <v>473</v>
      </c>
      <c r="B487" s="30" t="s">
        <v>703</v>
      </c>
      <c r="C487" s="30" t="s">
        <v>822</v>
      </c>
      <c r="D487" s="30" t="s">
        <v>216</v>
      </c>
      <c r="E487" s="30" t="s">
        <v>97</v>
      </c>
      <c r="F487" s="30" t="s">
        <v>226</v>
      </c>
      <c r="G487" s="41">
        <f>G488</f>
        <v>500</v>
      </c>
    </row>
    <row r="488" spans="1:7" s="48" customFormat="1" x14ac:dyDescent="0.2">
      <c r="A488" s="84" t="s">
        <v>227</v>
      </c>
      <c r="B488" s="30" t="s">
        <v>703</v>
      </c>
      <c r="C488" s="30" t="s">
        <v>822</v>
      </c>
      <c r="D488" s="30" t="s">
        <v>216</v>
      </c>
      <c r="E488" s="30" t="s">
        <v>97</v>
      </c>
      <c r="F488" s="30" t="s">
        <v>228</v>
      </c>
      <c r="G488" s="41">
        <v>500</v>
      </c>
    </row>
    <row r="489" spans="1:7" s="48" customFormat="1" ht="36" x14ac:dyDescent="0.2">
      <c r="A489" s="80" t="s">
        <v>600</v>
      </c>
      <c r="B489" s="24" t="s">
        <v>703</v>
      </c>
      <c r="C489" s="24" t="s">
        <v>822</v>
      </c>
      <c r="D489" s="24" t="s">
        <v>216</v>
      </c>
      <c r="E489" s="24" t="s">
        <v>99</v>
      </c>
      <c r="F489" s="24"/>
      <c r="G489" s="42">
        <f>G490</f>
        <v>200</v>
      </c>
    </row>
    <row r="490" spans="1:7" s="48" customFormat="1" x14ac:dyDescent="0.2">
      <c r="A490" s="84" t="s">
        <v>473</v>
      </c>
      <c r="B490" s="30" t="s">
        <v>703</v>
      </c>
      <c r="C490" s="30" t="s">
        <v>822</v>
      </c>
      <c r="D490" s="30" t="s">
        <v>216</v>
      </c>
      <c r="E490" s="30" t="s">
        <v>99</v>
      </c>
      <c r="F490" s="30" t="s">
        <v>226</v>
      </c>
      <c r="G490" s="41">
        <f>G491</f>
        <v>200</v>
      </c>
    </row>
    <row r="491" spans="1:7" s="48" customFormat="1" x14ac:dyDescent="0.2">
      <c r="A491" s="84" t="s">
        <v>227</v>
      </c>
      <c r="B491" s="30" t="s">
        <v>703</v>
      </c>
      <c r="C491" s="30" t="s">
        <v>822</v>
      </c>
      <c r="D491" s="30" t="s">
        <v>216</v>
      </c>
      <c r="E491" s="30" t="s">
        <v>99</v>
      </c>
      <c r="F491" s="30" t="s">
        <v>228</v>
      </c>
      <c r="G491" s="41">
        <v>200</v>
      </c>
    </row>
    <row r="492" spans="1:7" s="48" customFormat="1" ht="24" x14ac:dyDescent="0.2">
      <c r="A492" s="80" t="s">
        <v>601</v>
      </c>
      <c r="B492" s="24" t="s">
        <v>703</v>
      </c>
      <c r="C492" s="24" t="s">
        <v>822</v>
      </c>
      <c r="D492" s="24" t="s">
        <v>216</v>
      </c>
      <c r="E492" s="24" t="s">
        <v>100</v>
      </c>
      <c r="F492" s="24"/>
      <c r="G492" s="42">
        <f>G493</f>
        <v>50</v>
      </c>
    </row>
    <row r="493" spans="1:7" s="48" customFormat="1" x14ac:dyDescent="0.2">
      <c r="A493" s="84" t="s">
        <v>473</v>
      </c>
      <c r="B493" s="30" t="s">
        <v>703</v>
      </c>
      <c r="C493" s="30" t="s">
        <v>822</v>
      </c>
      <c r="D493" s="30" t="s">
        <v>216</v>
      </c>
      <c r="E493" s="30" t="s">
        <v>100</v>
      </c>
      <c r="F493" s="30" t="s">
        <v>226</v>
      </c>
      <c r="G493" s="41">
        <f>G494</f>
        <v>50</v>
      </c>
    </row>
    <row r="494" spans="1:7" s="48" customFormat="1" x14ac:dyDescent="0.2">
      <c r="A494" s="84" t="s">
        <v>227</v>
      </c>
      <c r="B494" s="30" t="s">
        <v>703</v>
      </c>
      <c r="C494" s="30" t="s">
        <v>822</v>
      </c>
      <c r="D494" s="30" t="s">
        <v>216</v>
      </c>
      <c r="E494" s="30" t="s">
        <v>100</v>
      </c>
      <c r="F494" s="30" t="s">
        <v>228</v>
      </c>
      <c r="G494" s="41">
        <v>50</v>
      </c>
    </row>
    <row r="495" spans="1:7" s="48" customFormat="1" ht="24" x14ac:dyDescent="0.2">
      <c r="A495" s="80" t="s">
        <v>759</v>
      </c>
      <c r="B495" s="24" t="s">
        <v>703</v>
      </c>
      <c r="C495" s="24" t="s">
        <v>822</v>
      </c>
      <c r="D495" s="24" t="s">
        <v>216</v>
      </c>
      <c r="E495" s="24" t="s">
        <v>101</v>
      </c>
      <c r="F495" s="24"/>
      <c r="G495" s="42">
        <f>G496</f>
        <v>500</v>
      </c>
    </row>
    <row r="496" spans="1:7" s="48" customFormat="1" x14ac:dyDescent="0.2">
      <c r="A496" s="84" t="s">
        <v>473</v>
      </c>
      <c r="B496" s="30" t="s">
        <v>703</v>
      </c>
      <c r="C496" s="30" t="s">
        <v>822</v>
      </c>
      <c r="D496" s="30" t="s">
        <v>216</v>
      </c>
      <c r="E496" s="30" t="s">
        <v>101</v>
      </c>
      <c r="F496" s="30" t="s">
        <v>226</v>
      </c>
      <c r="G496" s="41">
        <f>G497</f>
        <v>500</v>
      </c>
    </row>
    <row r="497" spans="1:7" s="48" customFormat="1" x14ac:dyDescent="0.2">
      <c r="A497" s="84" t="s">
        <v>227</v>
      </c>
      <c r="B497" s="30" t="s">
        <v>703</v>
      </c>
      <c r="C497" s="30" t="s">
        <v>822</v>
      </c>
      <c r="D497" s="30" t="s">
        <v>216</v>
      </c>
      <c r="E497" s="30" t="s">
        <v>101</v>
      </c>
      <c r="F497" s="30" t="s">
        <v>228</v>
      </c>
      <c r="G497" s="41">
        <v>500</v>
      </c>
    </row>
    <row r="498" spans="1:7" s="48" customFormat="1" ht="24" x14ac:dyDescent="0.2">
      <c r="A498" s="80" t="s">
        <v>539</v>
      </c>
      <c r="B498" s="24" t="s">
        <v>703</v>
      </c>
      <c r="C498" s="24" t="s">
        <v>822</v>
      </c>
      <c r="D498" s="24" t="s">
        <v>216</v>
      </c>
      <c r="E498" s="24" t="s">
        <v>102</v>
      </c>
      <c r="F498" s="24"/>
      <c r="G498" s="117">
        <f>G499</f>
        <v>500</v>
      </c>
    </row>
    <row r="499" spans="1:7" s="48" customFormat="1" x14ac:dyDescent="0.2">
      <c r="A499" s="84" t="s">
        <v>473</v>
      </c>
      <c r="B499" s="30" t="s">
        <v>703</v>
      </c>
      <c r="C499" s="30" t="s">
        <v>822</v>
      </c>
      <c r="D499" s="30" t="s">
        <v>216</v>
      </c>
      <c r="E499" s="30" t="s">
        <v>102</v>
      </c>
      <c r="F499" s="30" t="s">
        <v>226</v>
      </c>
      <c r="G499" s="118">
        <f>G500</f>
        <v>500</v>
      </c>
    </row>
    <row r="500" spans="1:7" s="48" customFormat="1" x14ac:dyDescent="0.2">
      <c r="A500" s="84" t="s">
        <v>227</v>
      </c>
      <c r="B500" s="30" t="s">
        <v>703</v>
      </c>
      <c r="C500" s="30" t="s">
        <v>822</v>
      </c>
      <c r="D500" s="30" t="s">
        <v>216</v>
      </c>
      <c r="E500" s="30" t="s">
        <v>102</v>
      </c>
      <c r="F500" s="30" t="s">
        <v>228</v>
      </c>
      <c r="G500" s="118">
        <v>500</v>
      </c>
    </row>
    <row r="501" spans="1:7" s="49" customFormat="1" x14ac:dyDescent="0.2">
      <c r="A501" s="80" t="s">
        <v>538</v>
      </c>
      <c r="B501" s="24" t="s">
        <v>703</v>
      </c>
      <c r="C501" s="24" t="s">
        <v>822</v>
      </c>
      <c r="D501" s="24" t="s">
        <v>216</v>
      </c>
      <c r="E501" s="24" t="s">
        <v>103</v>
      </c>
      <c r="F501" s="24"/>
      <c r="G501" s="42">
        <f>G502</f>
        <v>300</v>
      </c>
    </row>
    <row r="502" spans="1:7" s="49" customFormat="1" x14ac:dyDescent="0.2">
      <c r="A502" s="84" t="s">
        <v>473</v>
      </c>
      <c r="B502" s="30" t="s">
        <v>703</v>
      </c>
      <c r="C502" s="30" t="s">
        <v>822</v>
      </c>
      <c r="D502" s="30" t="s">
        <v>216</v>
      </c>
      <c r="E502" s="30" t="s">
        <v>103</v>
      </c>
      <c r="F502" s="30" t="s">
        <v>226</v>
      </c>
      <c r="G502" s="41">
        <f>G503</f>
        <v>300</v>
      </c>
    </row>
    <row r="503" spans="1:7" s="49" customFormat="1" x14ac:dyDescent="0.2">
      <c r="A503" s="84" t="s">
        <v>227</v>
      </c>
      <c r="B503" s="30" t="s">
        <v>703</v>
      </c>
      <c r="C503" s="30" t="s">
        <v>822</v>
      </c>
      <c r="D503" s="30" t="s">
        <v>216</v>
      </c>
      <c r="E503" s="30" t="s">
        <v>103</v>
      </c>
      <c r="F503" s="30" t="s">
        <v>228</v>
      </c>
      <c r="G503" s="41">
        <v>300</v>
      </c>
    </row>
    <row r="504" spans="1:7" ht="11.25" customHeight="1" x14ac:dyDescent="0.2">
      <c r="A504" s="86" t="s">
        <v>440</v>
      </c>
      <c r="B504" s="53">
        <v>603</v>
      </c>
      <c r="C504" s="53" t="s">
        <v>822</v>
      </c>
      <c r="D504" s="53" t="s">
        <v>216</v>
      </c>
      <c r="E504" s="53" t="s">
        <v>442</v>
      </c>
      <c r="F504" s="53"/>
      <c r="G504" s="57">
        <f>G505</f>
        <v>4163.8</v>
      </c>
    </row>
    <row r="505" spans="1:7" ht="24" x14ac:dyDescent="0.2">
      <c r="A505" s="80" t="s">
        <v>441</v>
      </c>
      <c r="B505" s="24">
        <v>603</v>
      </c>
      <c r="C505" s="24" t="s">
        <v>822</v>
      </c>
      <c r="D505" s="24" t="s">
        <v>216</v>
      </c>
      <c r="E505" s="24" t="s">
        <v>442</v>
      </c>
      <c r="F505" s="24"/>
      <c r="G505" s="42">
        <f>G506</f>
        <v>4163.8</v>
      </c>
    </row>
    <row r="506" spans="1:7" ht="24" x14ac:dyDescent="0.2">
      <c r="A506" s="83" t="s">
        <v>704</v>
      </c>
      <c r="B506" s="25">
        <v>603</v>
      </c>
      <c r="C506" s="25" t="s">
        <v>822</v>
      </c>
      <c r="D506" s="25" t="s">
        <v>216</v>
      </c>
      <c r="E506" s="33" t="s">
        <v>442</v>
      </c>
      <c r="F506" s="25"/>
      <c r="G506" s="101">
        <f>G507+G510</f>
        <v>4163.8</v>
      </c>
    </row>
    <row r="507" spans="1:7" ht="29.25" customHeight="1" x14ac:dyDescent="0.2">
      <c r="A507" s="82" t="s">
        <v>685</v>
      </c>
      <c r="B507" s="24" t="s">
        <v>703</v>
      </c>
      <c r="C507" s="24" t="s">
        <v>822</v>
      </c>
      <c r="D507" s="24" t="s">
        <v>216</v>
      </c>
      <c r="E507" s="24" t="s">
        <v>210</v>
      </c>
      <c r="F507" s="24"/>
      <c r="G507" s="42">
        <f>G508</f>
        <v>3860.2</v>
      </c>
    </row>
    <row r="508" spans="1:7" ht="36" x14ac:dyDescent="0.2">
      <c r="A508" s="84" t="s">
        <v>217</v>
      </c>
      <c r="B508" s="30" t="s">
        <v>703</v>
      </c>
      <c r="C508" s="30" t="s">
        <v>822</v>
      </c>
      <c r="D508" s="30" t="s">
        <v>216</v>
      </c>
      <c r="E508" s="30" t="s">
        <v>210</v>
      </c>
      <c r="F508" s="30" t="s">
        <v>218</v>
      </c>
      <c r="G508" s="41">
        <f>G509</f>
        <v>3860.2</v>
      </c>
    </row>
    <row r="509" spans="1:7" x14ac:dyDescent="0.2">
      <c r="A509" s="84" t="s">
        <v>219</v>
      </c>
      <c r="B509" s="30" t="s">
        <v>703</v>
      </c>
      <c r="C509" s="30" t="s">
        <v>822</v>
      </c>
      <c r="D509" s="30" t="s">
        <v>216</v>
      </c>
      <c r="E509" s="30" t="s">
        <v>210</v>
      </c>
      <c r="F509" s="30" t="s">
        <v>224</v>
      </c>
      <c r="G509" s="41">
        <f>2900+875+85.2</f>
        <v>3860.2</v>
      </c>
    </row>
    <row r="510" spans="1:7" ht="15" customHeight="1" x14ac:dyDescent="0.2">
      <c r="A510" s="80" t="s">
        <v>225</v>
      </c>
      <c r="B510" s="24" t="s">
        <v>703</v>
      </c>
      <c r="C510" s="24" t="s">
        <v>822</v>
      </c>
      <c r="D510" s="24" t="s">
        <v>216</v>
      </c>
      <c r="E510" s="24" t="s">
        <v>211</v>
      </c>
      <c r="F510" s="24"/>
      <c r="G510" s="42">
        <f>G511+G513</f>
        <v>303.60000000000002</v>
      </c>
    </row>
    <row r="511" spans="1:7" x14ac:dyDescent="0.2">
      <c r="A511" s="84" t="s">
        <v>473</v>
      </c>
      <c r="B511" s="30" t="s">
        <v>703</v>
      </c>
      <c r="C511" s="30" t="s">
        <v>822</v>
      </c>
      <c r="D511" s="30" t="s">
        <v>216</v>
      </c>
      <c r="E511" s="30" t="s">
        <v>211</v>
      </c>
      <c r="F511" s="30" t="s">
        <v>226</v>
      </c>
      <c r="G511" s="41">
        <f>G512</f>
        <v>271.8</v>
      </c>
    </row>
    <row r="512" spans="1:7" x14ac:dyDescent="0.2">
      <c r="A512" s="84" t="s">
        <v>227</v>
      </c>
      <c r="B512" s="30" t="s">
        <v>703</v>
      </c>
      <c r="C512" s="30" t="s">
        <v>822</v>
      </c>
      <c r="D512" s="30" t="s">
        <v>216</v>
      </c>
      <c r="E512" s="30" t="s">
        <v>211</v>
      </c>
      <c r="F512" s="30" t="s">
        <v>228</v>
      </c>
      <c r="G512" s="41">
        <f>248.8+23</f>
        <v>271.8</v>
      </c>
    </row>
    <row r="513" spans="1:7" x14ac:dyDescent="0.2">
      <c r="A513" s="84" t="s">
        <v>229</v>
      </c>
      <c r="B513" s="30" t="s">
        <v>703</v>
      </c>
      <c r="C513" s="30" t="s">
        <v>822</v>
      </c>
      <c r="D513" s="30" t="s">
        <v>216</v>
      </c>
      <c r="E513" s="30" t="s">
        <v>211</v>
      </c>
      <c r="F513" s="30" t="s">
        <v>230</v>
      </c>
      <c r="G513" s="41">
        <f>G514</f>
        <v>31.799999999999997</v>
      </c>
    </row>
    <row r="514" spans="1:7" x14ac:dyDescent="0.2">
      <c r="A514" s="84" t="s">
        <v>106</v>
      </c>
      <c r="B514" s="30" t="s">
        <v>703</v>
      </c>
      <c r="C514" s="30" t="s">
        <v>822</v>
      </c>
      <c r="D514" s="30" t="s">
        <v>216</v>
      </c>
      <c r="E514" s="30" t="s">
        <v>211</v>
      </c>
      <c r="F514" s="30" t="s">
        <v>231</v>
      </c>
      <c r="G514" s="41">
        <f>140-108.2</f>
        <v>31.799999999999997</v>
      </c>
    </row>
    <row r="515" spans="1:7" ht="31.5" x14ac:dyDescent="0.2">
      <c r="A515" s="79" t="s">
        <v>297</v>
      </c>
      <c r="B515" s="46" t="s">
        <v>291</v>
      </c>
      <c r="C515" s="47"/>
      <c r="D515" s="47"/>
      <c r="E515" s="47"/>
      <c r="F515" s="47"/>
      <c r="G515" s="102">
        <f>G533+G523+G516</f>
        <v>529016.94000000006</v>
      </c>
    </row>
    <row r="516" spans="1:7" x14ac:dyDescent="0.2">
      <c r="A516" s="80" t="s">
        <v>256</v>
      </c>
      <c r="B516" s="24" t="s">
        <v>291</v>
      </c>
      <c r="C516" s="24" t="s">
        <v>214</v>
      </c>
      <c r="D516" s="24" t="s">
        <v>215</v>
      </c>
      <c r="E516" s="24"/>
      <c r="F516" s="24"/>
      <c r="G516" s="42">
        <f t="shared" ref="G516:G521" si="5">G517</f>
        <v>93.742999999999995</v>
      </c>
    </row>
    <row r="517" spans="1:7" x14ac:dyDescent="0.2">
      <c r="A517" s="80" t="s">
        <v>509</v>
      </c>
      <c r="B517" s="24" t="s">
        <v>291</v>
      </c>
      <c r="C517" s="24" t="s">
        <v>214</v>
      </c>
      <c r="D517" s="24" t="s">
        <v>235</v>
      </c>
      <c r="E517" s="24"/>
      <c r="F517" s="24"/>
      <c r="G517" s="42">
        <f t="shared" si="5"/>
        <v>93.742999999999995</v>
      </c>
    </row>
    <row r="518" spans="1:7" x14ac:dyDescent="0.2">
      <c r="A518" s="80" t="s">
        <v>212</v>
      </c>
      <c r="B518" s="24" t="s">
        <v>291</v>
      </c>
      <c r="C518" s="24" t="s">
        <v>214</v>
      </c>
      <c r="D518" s="24" t="s">
        <v>235</v>
      </c>
      <c r="E518" s="43" t="s">
        <v>382</v>
      </c>
      <c r="F518" s="24"/>
      <c r="G518" s="42">
        <f t="shared" si="5"/>
        <v>93.742999999999995</v>
      </c>
    </row>
    <row r="519" spans="1:7" x14ac:dyDescent="0.2">
      <c r="A519" s="80" t="s">
        <v>476</v>
      </c>
      <c r="B519" s="24" t="s">
        <v>291</v>
      </c>
      <c r="C519" s="24" t="s">
        <v>214</v>
      </c>
      <c r="D519" s="24" t="s">
        <v>235</v>
      </c>
      <c r="E519" s="43" t="s">
        <v>383</v>
      </c>
      <c r="F519" s="24"/>
      <c r="G519" s="42">
        <f t="shared" si="5"/>
        <v>93.742999999999995</v>
      </c>
    </row>
    <row r="520" spans="1:7" x14ac:dyDescent="0.2">
      <c r="A520" s="80" t="s">
        <v>510</v>
      </c>
      <c r="B520" s="25" t="s">
        <v>291</v>
      </c>
      <c r="C520" s="25" t="s">
        <v>214</v>
      </c>
      <c r="D520" s="25" t="s">
        <v>235</v>
      </c>
      <c r="E520" s="54" t="s">
        <v>147</v>
      </c>
      <c r="F520" s="25"/>
      <c r="G520" s="45">
        <f t="shared" si="5"/>
        <v>93.742999999999995</v>
      </c>
    </row>
    <row r="521" spans="1:7" x14ac:dyDescent="0.2">
      <c r="A521" s="84" t="s">
        <v>229</v>
      </c>
      <c r="B521" s="30" t="s">
        <v>291</v>
      </c>
      <c r="C521" s="30" t="s">
        <v>214</v>
      </c>
      <c r="D521" s="30" t="s">
        <v>235</v>
      </c>
      <c r="E521" s="40" t="s">
        <v>147</v>
      </c>
      <c r="F521" s="30" t="s">
        <v>230</v>
      </c>
      <c r="G521" s="41">
        <f t="shared" si="5"/>
        <v>93.742999999999995</v>
      </c>
    </row>
    <row r="522" spans="1:7" x14ac:dyDescent="0.2">
      <c r="A522" s="84" t="s">
        <v>306</v>
      </c>
      <c r="B522" s="30" t="s">
        <v>291</v>
      </c>
      <c r="C522" s="30" t="s">
        <v>214</v>
      </c>
      <c r="D522" s="30" t="s">
        <v>235</v>
      </c>
      <c r="E522" s="40" t="s">
        <v>147</v>
      </c>
      <c r="F522" s="30" t="s">
        <v>310</v>
      </c>
      <c r="G522" s="41">
        <v>93.742999999999995</v>
      </c>
    </row>
    <row r="523" spans="1:7" x14ac:dyDescent="0.2">
      <c r="A523" s="80" t="s">
        <v>655</v>
      </c>
      <c r="B523" s="24" t="s">
        <v>291</v>
      </c>
      <c r="C523" s="24" t="s">
        <v>216</v>
      </c>
      <c r="D523" s="24" t="s">
        <v>215</v>
      </c>
      <c r="E523" s="24"/>
      <c r="F523" s="24"/>
      <c r="G523" s="42">
        <f>G524</f>
        <v>6000</v>
      </c>
    </row>
    <row r="524" spans="1:7" x14ac:dyDescent="0.2">
      <c r="A524" s="80" t="s">
        <v>665</v>
      </c>
      <c r="B524" s="24" t="s">
        <v>291</v>
      </c>
      <c r="C524" s="24" t="s">
        <v>216</v>
      </c>
      <c r="D524" s="24" t="s">
        <v>824</v>
      </c>
      <c r="E524" s="24"/>
      <c r="F524" s="24"/>
      <c r="G524" s="42">
        <f>G525</f>
        <v>6000</v>
      </c>
    </row>
    <row r="525" spans="1:7" ht="27" x14ac:dyDescent="0.2">
      <c r="A525" s="86" t="s">
        <v>439</v>
      </c>
      <c r="B525" s="53" t="s">
        <v>291</v>
      </c>
      <c r="C525" s="53" t="s">
        <v>216</v>
      </c>
      <c r="D525" s="53" t="s">
        <v>824</v>
      </c>
      <c r="E525" s="93" t="s">
        <v>425</v>
      </c>
      <c r="F525" s="53"/>
      <c r="G525" s="57">
        <f>G526</f>
        <v>6000</v>
      </c>
    </row>
    <row r="526" spans="1:7" x14ac:dyDescent="0.2">
      <c r="A526" s="80" t="s">
        <v>430</v>
      </c>
      <c r="B526" s="24" t="s">
        <v>291</v>
      </c>
      <c r="C526" s="24" t="s">
        <v>216</v>
      </c>
      <c r="D526" s="24" t="s">
        <v>824</v>
      </c>
      <c r="E526" s="24" t="s">
        <v>63</v>
      </c>
      <c r="F526" s="24"/>
      <c r="G526" s="42">
        <f>G527+G529+G531</f>
        <v>6000</v>
      </c>
    </row>
    <row r="527" spans="1:7" ht="36" x14ac:dyDescent="0.2">
      <c r="A527" s="84" t="s">
        <v>217</v>
      </c>
      <c r="B527" s="30" t="s">
        <v>291</v>
      </c>
      <c r="C527" s="30" t="s">
        <v>216</v>
      </c>
      <c r="D527" s="30" t="s">
        <v>824</v>
      </c>
      <c r="E527" s="30" t="s">
        <v>63</v>
      </c>
      <c r="F527" s="30" t="s">
        <v>218</v>
      </c>
      <c r="G527" s="41">
        <f>G528</f>
        <v>5061</v>
      </c>
    </row>
    <row r="528" spans="1:7" x14ac:dyDescent="0.2">
      <c r="A528" s="84" t="s">
        <v>820</v>
      </c>
      <c r="B528" s="30" t="s">
        <v>291</v>
      </c>
      <c r="C528" s="30" t="s">
        <v>216</v>
      </c>
      <c r="D528" s="30" t="s">
        <v>824</v>
      </c>
      <c r="E528" s="30" t="s">
        <v>63</v>
      </c>
      <c r="F528" s="30" t="s">
        <v>821</v>
      </c>
      <c r="G528" s="41">
        <f>3872+1169+20</f>
        <v>5061</v>
      </c>
    </row>
    <row r="529" spans="1:7" x14ac:dyDescent="0.2">
      <c r="A529" s="84" t="s">
        <v>473</v>
      </c>
      <c r="B529" s="30" t="s">
        <v>291</v>
      </c>
      <c r="C529" s="30" t="s">
        <v>216</v>
      </c>
      <c r="D529" s="30" t="s">
        <v>824</v>
      </c>
      <c r="E529" s="30" t="s">
        <v>63</v>
      </c>
      <c r="F529" s="30" t="s">
        <v>226</v>
      </c>
      <c r="G529" s="41">
        <f>G530</f>
        <v>897.64886999999999</v>
      </c>
    </row>
    <row r="530" spans="1:7" ht="15" customHeight="1" x14ac:dyDescent="0.2">
      <c r="A530" s="84" t="s">
        <v>227</v>
      </c>
      <c r="B530" s="30" t="s">
        <v>291</v>
      </c>
      <c r="C530" s="30" t="s">
        <v>216</v>
      </c>
      <c r="D530" s="30" t="s">
        <v>824</v>
      </c>
      <c r="E530" s="30" t="s">
        <v>63</v>
      </c>
      <c r="F530" s="30" t="s">
        <v>228</v>
      </c>
      <c r="G530" s="41">
        <f>934-0.25113-20-16.1</f>
        <v>897.64886999999999</v>
      </c>
    </row>
    <row r="531" spans="1:7" x14ac:dyDescent="0.2">
      <c r="A531" s="84" t="s">
        <v>229</v>
      </c>
      <c r="B531" s="30" t="s">
        <v>291</v>
      </c>
      <c r="C531" s="30" t="s">
        <v>216</v>
      </c>
      <c r="D531" s="30" t="s">
        <v>824</v>
      </c>
      <c r="E531" s="30" t="s">
        <v>63</v>
      </c>
      <c r="F531" s="30" t="s">
        <v>230</v>
      </c>
      <c r="G531" s="41">
        <f>G532</f>
        <v>41.351129999999998</v>
      </c>
    </row>
    <row r="532" spans="1:7" x14ac:dyDescent="0.2">
      <c r="A532" s="84" t="s">
        <v>311</v>
      </c>
      <c r="B532" s="30" t="s">
        <v>291</v>
      </c>
      <c r="C532" s="30" t="s">
        <v>216</v>
      </c>
      <c r="D532" s="30" t="s">
        <v>824</v>
      </c>
      <c r="E532" s="30" t="s">
        <v>63</v>
      </c>
      <c r="F532" s="30" t="s">
        <v>231</v>
      </c>
      <c r="G532" s="41">
        <f>25+0.25113+16.1</f>
        <v>41.351129999999998</v>
      </c>
    </row>
    <row r="533" spans="1:7" x14ac:dyDescent="0.2">
      <c r="A533" s="80" t="s">
        <v>667</v>
      </c>
      <c r="B533" s="24" t="s">
        <v>291</v>
      </c>
      <c r="C533" s="24" t="s">
        <v>731</v>
      </c>
      <c r="D533" s="24" t="s">
        <v>215</v>
      </c>
      <c r="E533" s="24"/>
      <c r="F533" s="24"/>
      <c r="G533" s="42">
        <f>G534+G576</f>
        <v>522923.19700000004</v>
      </c>
    </row>
    <row r="534" spans="1:7" x14ac:dyDescent="0.2">
      <c r="A534" s="80" t="s">
        <v>671</v>
      </c>
      <c r="B534" s="24" t="s">
        <v>291</v>
      </c>
      <c r="C534" s="24" t="s">
        <v>731</v>
      </c>
      <c r="D534" s="24" t="s">
        <v>817</v>
      </c>
      <c r="E534" s="24"/>
      <c r="F534" s="24"/>
      <c r="G534" s="42">
        <f>G535+G566</f>
        <v>516577.19700000004</v>
      </c>
    </row>
    <row r="535" spans="1:7" ht="27" x14ac:dyDescent="0.2">
      <c r="A535" s="86" t="s">
        <v>439</v>
      </c>
      <c r="B535" s="53" t="s">
        <v>291</v>
      </c>
      <c r="C535" s="53" t="s">
        <v>731</v>
      </c>
      <c r="D535" s="53" t="s">
        <v>817</v>
      </c>
      <c r="E535" s="93" t="s">
        <v>425</v>
      </c>
      <c r="F535" s="53"/>
      <c r="G535" s="57">
        <f>G536+G539+G542+G545+G548+G551+G554+G557+G560+G563</f>
        <v>345943.65700000001</v>
      </c>
    </row>
    <row r="536" spans="1:7" x14ac:dyDescent="0.2">
      <c r="A536" s="75" t="s">
        <v>10</v>
      </c>
      <c r="B536" s="24" t="s">
        <v>291</v>
      </c>
      <c r="C536" s="24" t="s">
        <v>731</v>
      </c>
      <c r="D536" s="24" t="s">
        <v>817</v>
      </c>
      <c r="E536" s="24" t="s">
        <v>55</v>
      </c>
      <c r="F536" s="24"/>
      <c r="G536" s="42">
        <f>G537</f>
        <v>20300</v>
      </c>
    </row>
    <row r="537" spans="1:7" x14ac:dyDescent="0.2">
      <c r="A537" s="84" t="s">
        <v>473</v>
      </c>
      <c r="B537" s="30" t="s">
        <v>291</v>
      </c>
      <c r="C537" s="30" t="s">
        <v>731</v>
      </c>
      <c r="D537" s="30" t="s">
        <v>817</v>
      </c>
      <c r="E537" s="30" t="s">
        <v>55</v>
      </c>
      <c r="F537" s="30" t="s">
        <v>226</v>
      </c>
      <c r="G537" s="41">
        <f>G538</f>
        <v>20300</v>
      </c>
    </row>
    <row r="538" spans="1:7" ht="15" customHeight="1" x14ac:dyDescent="0.2">
      <c r="A538" s="84" t="s">
        <v>227</v>
      </c>
      <c r="B538" s="30" t="s">
        <v>291</v>
      </c>
      <c r="C538" s="30" t="s">
        <v>731</v>
      </c>
      <c r="D538" s="30" t="s">
        <v>817</v>
      </c>
      <c r="E538" s="30" t="s">
        <v>55</v>
      </c>
      <c r="F538" s="30" t="s">
        <v>228</v>
      </c>
      <c r="G538" s="41">
        <f>16100+4200</f>
        <v>20300</v>
      </c>
    </row>
    <row r="539" spans="1:7" x14ac:dyDescent="0.2">
      <c r="A539" s="75" t="s">
        <v>557</v>
      </c>
      <c r="B539" s="24" t="s">
        <v>291</v>
      </c>
      <c r="C539" s="24" t="s">
        <v>731</v>
      </c>
      <c r="D539" s="24" t="s">
        <v>817</v>
      </c>
      <c r="E539" s="24" t="s">
        <v>56</v>
      </c>
      <c r="F539" s="24"/>
      <c r="G539" s="42">
        <f>G540</f>
        <v>2000</v>
      </c>
    </row>
    <row r="540" spans="1:7" x14ac:dyDescent="0.2">
      <c r="A540" s="84" t="s">
        <v>473</v>
      </c>
      <c r="B540" s="30" t="s">
        <v>291</v>
      </c>
      <c r="C540" s="30" t="s">
        <v>731</v>
      </c>
      <c r="D540" s="30" t="s">
        <v>817</v>
      </c>
      <c r="E540" s="30" t="s">
        <v>56</v>
      </c>
      <c r="F540" s="30" t="s">
        <v>226</v>
      </c>
      <c r="G540" s="41">
        <f>G541</f>
        <v>2000</v>
      </c>
    </row>
    <row r="541" spans="1:7" ht="15" customHeight="1" x14ac:dyDescent="0.2">
      <c r="A541" s="84" t="s">
        <v>227</v>
      </c>
      <c r="B541" s="30" t="s">
        <v>291</v>
      </c>
      <c r="C541" s="30" t="s">
        <v>731</v>
      </c>
      <c r="D541" s="30" t="s">
        <v>817</v>
      </c>
      <c r="E541" s="30" t="s">
        <v>56</v>
      </c>
      <c r="F541" s="30" t="s">
        <v>228</v>
      </c>
      <c r="G541" s="41">
        <v>2000</v>
      </c>
    </row>
    <row r="542" spans="1:7" x14ac:dyDescent="0.2">
      <c r="A542" s="80" t="s">
        <v>558</v>
      </c>
      <c r="B542" s="24" t="s">
        <v>291</v>
      </c>
      <c r="C542" s="24" t="s">
        <v>731</v>
      </c>
      <c r="D542" s="24" t="s">
        <v>817</v>
      </c>
      <c r="E542" s="24" t="s">
        <v>57</v>
      </c>
      <c r="F542" s="24"/>
      <c r="G542" s="42">
        <f>G543</f>
        <v>2000</v>
      </c>
    </row>
    <row r="543" spans="1:7" x14ac:dyDescent="0.2">
      <c r="A543" s="84" t="s">
        <v>473</v>
      </c>
      <c r="B543" s="30" t="s">
        <v>291</v>
      </c>
      <c r="C543" s="30" t="s">
        <v>731</v>
      </c>
      <c r="D543" s="30" t="s">
        <v>817</v>
      </c>
      <c r="E543" s="30" t="s">
        <v>57</v>
      </c>
      <c r="F543" s="30" t="s">
        <v>226</v>
      </c>
      <c r="G543" s="41">
        <f>G544</f>
        <v>2000</v>
      </c>
    </row>
    <row r="544" spans="1:7" ht="15" customHeight="1" x14ac:dyDescent="0.2">
      <c r="A544" s="84" t="s">
        <v>227</v>
      </c>
      <c r="B544" s="30" t="s">
        <v>291</v>
      </c>
      <c r="C544" s="30" t="s">
        <v>731</v>
      </c>
      <c r="D544" s="30" t="s">
        <v>817</v>
      </c>
      <c r="E544" s="30" t="s">
        <v>57</v>
      </c>
      <c r="F544" s="30" t="s">
        <v>228</v>
      </c>
      <c r="G544" s="41">
        <v>2000</v>
      </c>
    </row>
    <row r="545" spans="1:7" ht="24" x14ac:dyDescent="0.2">
      <c r="A545" s="75" t="s">
        <v>535</v>
      </c>
      <c r="B545" s="24" t="s">
        <v>291</v>
      </c>
      <c r="C545" s="24" t="s">
        <v>731</v>
      </c>
      <c r="D545" s="24" t="s">
        <v>817</v>
      </c>
      <c r="E545" s="24" t="s">
        <v>58</v>
      </c>
      <c r="F545" s="24"/>
      <c r="G545" s="42">
        <f>G546</f>
        <v>4406.2569999999996</v>
      </c>
    </row>
    <row r="546" spans="1:7" x14ac:dyDescent="0.2">
      <c r="A546" s="84" t="s">
        <v>473</v>
      </c>
      <c r="B546" s="30" t="s">
        <v>291</v>
      </c>
      <c r="C546" s="30" t="s">
        <v>731</v>
      </c>
      <c r="D546" s="30" t="s">
        <v>817</v>
      </c>
      <c r="E546" s="30" t="s">
        <v>58</v>
      </c>
      <c r="F546" s="30" t="s">
        <v>226</v>
      </c>
      <c r="G546" s="41">
        <f>G547</f>
        <v>4406.2569999999996</v>
      </c>
    </row>
    <row r="547" spans="1:7" ht="15" customHeight="1" x14ac:dyDescent="0.2">
      <c r="A547" s="84" t="s">
        <v>227</v>
      </c>
      <c r="B547" s="30" t="s">
        <v>291</v>
      </c>
      <c r="C547" s="30" t="s">
        <v>731</v>
      </c>
      <c r="D547" s="30" t="s">
        <v>817</v>
      </c>
      <c r="E547" s="30" t="s">
        <v>58</v>
      </c>
      <c r="F547" s="30" t="s">
        <v>228</v>
      </c>
      <c r="G547" s="41">
        <v>4406.2569999999996</v>
      </c>
    </row>
    <row r="548" spans="1:7" x14ac:dyDescent="0.2">
      <c r="A548" s="76" t="s">
        <v>536</v>
      </c>
      <c r="B548" s="24" t="s">
        <v>291</v>
      </c>
      <c r="C548" s="24" t="s">
        <v>731</v>
      </c>
      <c r="D548" s="24" t="s">
        <v>817</v>
      </c>
      <c r="E548" s="37" t="s">
        <v>59</v>
      </c>
      <c r="F548" s="37"/>
      <c r="G548" s="42">
        <f>G549</f>
        <v>1000</v>
      </c>
    </row>
    <row r="549" spans="1:7" x14ac:dyDescent="0.2">
      <c r="A549" s="84" t="s">
        <v>322</v>
      </c>
      <c r="B549" s="30" t="s">
        <v>291</v>
      </c>
      <c r="C549" s="30" t="s">
        <v>731</v>
      </c>
      <c r="D549" s="30" t="s">
        <v>817</v>
      </c>
      <c r="E549" s="31" t="s">
        <v>59</v>
      </c>
      <c r="F549" s="30" t="s">
        <v>226</v>
      </c>
      <c r="G549" s="41">
        <f>G550</f>
        <v>1000</v>
      </c>
    </row>
    <row r="550" spans="1:7" ht="15" customHeight="1" x14ac:dyDescent="0.2">
      <c r="A550" s="84" t="s">
        <v>227</v>
      </c>
      <c r="B550" s="30" t="s">
        <v>291</v>
      </c>
      <c r="C550" s="30" t="s">
        <v>731</v>
      </c>
      <c r="D550" s="30" t="s">
        <v>817</v>
      </c>
      <c r="E550" s="31" t="s">
        <v>59</v>
      </c>
      <c r="F550" s="30" t="s">
        <v>228</v>
      </c>
      <c r="G550" s="41">
        <v>1000</v>
      </c>
    </row>
    <row r="551" spans="1:7" x14ac:dyDescent="0.2">
      <c r="A551" s="87" t="s">
        <v>409</v>
      </c>
      <c r="B551" s="24" t="s">
        <v>291</v>
      </c>
      <c r="C551" s="24" t="s">
        <v>731</v>
      </c>
      <c r="D551" s="24" t="s">
        <v>817</v>
      </c>
      <c r="E551" s="24" t="s">
        <v>60</v>
      </c>
      <c r="F551" s="24"/>
      <c r="G551" s="42">
        <f>G552</f>
        <v>70000</v>
      </c>
    </row>
    <row r="552" spans="1:7" x14ac:dyDescent="0.2">
      <c r="A552" s="84" t="s">
        <v>473</v>
      </c>
      <c r="B552" s="30" t="s">
        <v>291</v>
      </c>
      <c r="C552" s="30" t="s">
        <v>731</v>
      </c>
      <c r="D552" s="30" t="s">
        <v>817</v>
      </c>
      <c r="E552" s="30" t="s">
        <v>60</v>
      </c>
      <c r="F552" s="30" t="s">
        <v>226</v>
      </c>
      <c r="G552" s="41">
        <f>G553</f>
        <v>70000</v>
      </c>
    </row>
    <row r="553" spans="1:7" ht="15" customHeight="1" x14ac:dyDescent="0.2">
      <c r="A553" s="84" t="s">
        <v>227</v>
      </c>
      <c r="B553" s="30" t="s">
        <v>291</v>
      </c>
      <c r="C553" s="30" t="s">
        <v>731</v>
      </c>
      <c r="D553" s="30" t="s">
        <v>817</v>
      </c>
      <c r="E553" s="30" t="s">
        <v>60</v>
      </c>
      <c r="F553" s="30" t="s">
        <v>228</v>
      </c>
      <c r="G553" s="41">
        <v>70000</v>
      </c>
    </row>
    <row r="554" spans="1:7" x14ac:dyDescent="0.2">
      <c r="A554" s="87" t="s">
        <v>537</v>
      </c>
      <c r="B554" s="24" t="s">
        <v>291</v>
      </c>
      <c r="C554" s="24" t="s">
        <v>731</v>
      </c>
      <c r="D554" s="24" t="s">
        <v>817</v>
      </c>
      <c r="E554" s="24" t="s">
        <v>61</v>
      </c>
      <c r="F554" s="24"/>
      <c r="G554" s="42">
        <f>G555</f>
        <v>18800</v>
      </c>
    </row>
    <row r="555" spans="1:7" x14ac:dyDescent="0.2">
      <c r="A555" s="84" t="s">
        <v>473</v>
      </c>
      <c r="B555" s="30" t="s">
        <v>291</v>
      </c>
      <c r="C555" s="30" t="s">
        <v>731</v>
      </c>
      <c r="D555" s="30" t="s">
        <v>817</v>
      </c>
      <c r="E555" s="30" t="s">
        <v>61</v>
      </c>
      <c r="F555" s="30" t="s">
        <v>226</v>
      </c>
      <c r="G555" s="41">
        <f>G556</f>
        <v>18800</v>
      </c>
    </row>
    <row r="556" spans="1:7" ht="15" customHeight="1" x14ac:dyDescent="0.2">
      <c r="A556" s="84" t="s">
        <v>227</v>
      </c>
      <c r="B556" s="30" t="s">
        <v>291</v>
      </c>
      <c r="C556" s="30" t="s">
        <v>731</v>
      </c>
      <c r="D556" s="30" t="s">
        <v>817</v>
      </c>
      <c r="E556" s="30" t="s">
        <v>61</v>
      </c>
      <c r="F556" s="30" t="s">
        <v>228</v>
      </c>
      <c r="G556" s="41">
        <f>23000-4200</f>
        <v>18800</v>
      </c>
    </row>
    <row r="557" spans="1:7" ht="24" x14ac:dyDescent="0.2">
      <c r="A557" s="80" t="s">
        <v>543</v>
      </c>
      <c r="B557" s="24" t="s">
        <v>291</v>
      </c>
      <c r="C557" s="24" t="s">
        <v>731</v>
      </c>
      <c r="D557" s="24" t="s">
        <v>817</v>
      </c>
      <c r="E557" s="24" t="s">
        <v>62</v>
      </c>
      <c r="F557" s="24"/>
      <c r="G557" s="42">
        <f>G558</f>
        <v>500</v>
      </c>
    </row>
    <row r="558" spans="1:7" x14ac:dyDescent="0.2">
      <c r="A558" s="84" t="s">
        <v>473</v>
      </c>
      <c r="B558" s="30" t="s">
        <v>291</v>
      </c>
      <c r="C558" s="30" t="s">
        <v>731</v>
      </c>
      <c r="D558" s="30" t="s">
        <v>817</v>
      </c>
      <c r="E558" s="30" t="s">
        <v>62</v>
      </c>
      <c r="F558" s="30" t="s">
        <v>226</v>
      </c>
      <c r="G558" s="41">
        <f>G559</f>
        <v>500</v>
      </c>
    </row>
    <row r="559" spans="1:7" ht="15" customHeight="1" x14ac:dyDescent="0.2">
      <c r="A559" s="84" t="s">
        <v>227</v>
      </c>
      <c r="B559" s="30" t="s">
        <v>291</v>
      </c>
      <c r="C559" s="30" t="s">
        <v>731</v>
      </c>
      <c r="D559" s="30" t="s">
        <v>817</v>
      </c>
      <c r="E559" s="30" t="s">
        <v>62</v>
      </c>
      <c r="F559" s="30" t="s">
        <v>228</v>
      </c>
      <c r="G559" s="41">
        <v>500</v>
      </c>
    </row>
    <row r="560" spans="1:7" ht="24" x14ac:dyDescent="0.2">
      <c r="A560" s="80" t="s">
        <v>431</v>
      </c>
      <c r="B560" s="24" t="s">
        <v>291</v>
      </c>
      <c r="C560" s="24" t="s">
        <v>731</v>
      </c>
      <c r="D560" s="24" t="s">
        <v>817</v>
      </c>
      <c r="E560" s="24" t="s">
        <v>64</v>
      </c>
      <c r="F560" s="24"/>
      <c r="G560" s="42">
        <f>G561</f>
        <v>162000</v>
      </c>
    </row>
    <row r="561" spans="1:7" ht="24" x14ac:dyDescent="0.2">
      <c r="A561" s="84" t="s">
        <v>246</v>
      </c>
      <c r="B561" s="30" t="s">
        <v>291</v>
      </c>
      <c r="C561" s="30" t="s">
        <v>731</v>
      </c>
      <c r="D561" s="30" t="s">
        <v>817</v>
      </c>
      <c r="E561" s="30" t="s">
        <v>64</v>
      </c>
      <c r="F561" s="30" t="s">
        <v>702</v>
      </c>
      <c r="G561" s="41">
        <f>G562</f>
        <v>162000</v>
      </c>
    </row>
    <row r="562" spans="1:7" x14ac:dyDescent="0.2">
      <c r="A562" s="84" t="s">
        <v>247</v>
      </c>
      <c r="B562" s="30" t="s">
        <v>291</v>
      </c>
      <c r="C562" s="30" t="s">
        <v>731</v>
      </c>
      <c r="D562" s="30" t="s">
        <v>817</v>
      </c>
      <c r="E562" s="30" t="s">
        <v>64</v>
      </c>
      <c r="F562" s="30" t="s">
        <v>724</v>
      </c>
      <c r="G562" s="41">
        <f>155000+6600+400</f>
        <v>162000</v>
      </c>
    </row>
    <row r="563" spans="1:7" ht="13.5" customHeight="1" x14ac:dyDescent="0.2">
      <c r="A563" s="80" t="s">
        <v>418</v>
      </c>
      <c r="B563" s="24" t="s">
        <v>291</v>
      </c>
      <c r="C563" s="24" t="s">
        <v>731</v>
      </c>
      <c r="D563" s="24" t="s">
        <v>817</v>
      </c>
      <c r="E563" s="24" t="s">
        <v>41</v>
      </c>
      <c r="F563" s="24"/>
      <c r="G563" s="117">
        <f>G564</f>
        <v>64937.4</v>
      </c>
    </row>
    <row r="564" spans="1:7" x14ac:dyDescent="0.2">
      <c r="A564" s="84" t="s">
        <v>473</v>
      </c>
      <c r="B564" s="30" t="s">
        <v>291</v>
      </c>
      <c r="C564" s="30" t="s">
        <v>731</v>
      </c>
      <c r="D564" s="30" t="s">
        <v>817</v>
      </c>
      <c r="E564" s="30" t="s">
        <v>41</v>
      </c>
      <c r="F564" s="30" t="s">
        <v>226</v>
      </c>
      <c r="G564" s="118">
        <f>G565</f>
        <v>64937.4</v>
      </c>
    </row>
    <row r="565" spans="1:7" ht="15" customHeight="1" x14ac:dyDescent="0.2">
      <c r="A565" s="84" t="s">
        <v>227</v>
      </c>
      <c r="B565" s="30" t="s">
        <v>291</v>
      </c>
      <c r="C565" s="30" t="s">
        <v>731</v>
      </c>
      <c r="D565" s="30" t="s">
        <v>817</v>
      </c>
      <c r="E565" s="30" t="s">
        <v>41</v>
      </c>
      <c r="F565" s="30" t="s">
        <v>228</v>
      </c>
      <c r="G565" s="118">
        <f>59000+3000+2937.4</f>
        <v>64937.4</v>
      </c>
    </row>
    <row r="566" spans="1:7" ht="27" x14ac:dyDescent="0.2">
      <c r="A566" s="86" t="s">
        <v>13</v>
      </c>
      <c r="B566" s="53" t="s">
        <v>291</v>
      </c>
      <c r="C566" s="53" t="s">
        <v>731</v>
      </c>
      <c r="D566" s="53" t="s">
        <v>817</v>
      </c>
      <c r="E566" s="93" t="s">
        <v>14</v>
      </c>
      <c r="F566" s="53"/>
      <c r="G566" s="121">
        <f>G567+G570+G573</f>
        <v>170633.54</v>
      </c>
    </row>
    <row r="567" spans="1:7" x14ac:dyDescent="0.2">
      <c r="A567" s="80" t="s">
        <v>345</v>
      </c>
      <c r="B567" s="24" t="s">
        <v>291</v>
      </c>
      <c r="C567" s="24" t="s">
        <v>731</v>
      </c>
      <c r="D567" s="24" t="s">
        <v>817</v>
      </c>
      <c r="E567" s="43" t="s">
        <v>320</v>
      </c>
      <c r="F567" s="24"/>
      <c r="G567" s="117">
        <f>G568</f>
        <v>159511.54</v>
      </c>
    </row>
    <row r="568" spans="1:7" x14ac:dyDescent="0.2">
      <c r="A568" s="84" t="s">
        <v>473</v>
      </c>
      <c r="B568" s="30" t="s">
        <v>291</v>
      </c>
      <c r="C568" s="30" t="s">
        <v>731</v>
      </c>
      <c r="D568" s="30" t="s">
        <v>817</v>
      </c>
      <c r="E568" s="40" t="s">
        <v>320</v>
      </c>
      <c r="F568" s="30" t="s">
        <v>226</v>
      </c>
      <c r="G568" s="118">
        <f>G569</f>
        <v>159511.54</v>
      </c>
    </row>
    <row r="569" spans="1:7" ht="15" customHeight="1" x14ac:dyDescent="0.2">
      <c r="A569" s="84" t="s">
        <v>227</v>
      </c>
      <c r="B569" s="30" t="s">
        <v>291</v>
      </c>
      <c r="C569" s="30" t="s">
        <v>731</v>
      </c>
      <c r="D569" s="30" t="s">
        <v>817</v>
      </c>
      <c r="E569" s="40" t="s">
        <v>320</v>
      </c>
      <c r="F569" s="30" t="s">
        <v>228</v>
      </c>
      <c r="G569" s="118">
        <f>158816+695.54</f>
        <v>159511.54</v>
      </c>
    </row>
    <row r="570" spans="1:7" ht="24" x14ac:dyDescent="0.2">
      <c r="A570" s="80" t="s">
        <v>167</v>
      </c>
      <c r="B570" s="24" t="s">
        <v>291</v>
      </c>
      <c r="C570" s="24" t="s">
        <v>731</v>
      </c>
      <c r="D570" s="24" t="s">
        <v>817</v>
      </c>
      <c r="E570" s="43" t="s">
        <v>321</v>
      </c>
      <c r="F570" s="24"/>
      <c r="G570" s="117">
        <f>G571</f>
        <v>0</v>
      </c>
    </row>
    <row r="571" spans="1:7" x14ac:dyDescent="0.2">
      <c r="A571" s="84" t="s">
        <v>473</v>
      </c>
      <c r="B571" s="30" t="s">
        <v>291</v>
      </c>
      <c r="C571" s="30" t="s">
        <v>731</v>
      </c>
      <c r="D571" s="30" t="s">
        <v>817</v>
      </c>
      <c r="E571" s="40" t="s">
        <v>321</v>
      </c>
      <c r="F571" s="30" t="s">
        <v>226</v>
      </c>
      <c r="G571" s="118">
        <f>G572</f>
        <v>0</v>
      </c>
    </row>
    <row r="572" spans="1:7" ht="15" customHeight="1" x14ac:dyDescent="0.2">
      <c r="A572" s="84" t="s">
        <v>227</v>
      </c>
      <c r="B572" s="30" t="s">
        <v>291</v>
      </c>
      <c r="C572" s="30" t="s">
        <v>731</v>
      </c>
      <c r="D572" s="30" t="s">
        <v>817</v>
      </c>
      <c r="E572" s="40" t="s">
        <v>321</v>
      </c>
      <c r="F572" s="30" t="s">
        <v>228</v>
      </c>
      <c r="G572" s="118">
        <f>7000+4122-11122</f>
        <v>0</v>
      </c>
    </row>
    <row r="573" spans="1:7" ht="15" customHeight="1" x14ac:dyDescent="0.2">
      <c r="A573" s="80" t="s">
        <v>167</v>
      </c>
      <c r="B573" s="24" t="s">
        <v>291</v>
      </c>
      <c r="C573" s="24" t="s">
        <v>731</v>
      </c>
      <c r="D573" s="24" t="s">
        <v>817</v>
      </c>
      <c r="E573" s="43" t="s">
        <v>88</v>
      </c>
      <c r="F573" s="24"/>
      <c r="G573" s="117">
        <f>G574</f>
        <v>11122</v>
      </c>
    </row>
    <row r="574" spans="1:7" ht="15" customHeight="1" x14ac:dyDescent="0.2">
      <c r="A574" s="84" t="s">
        <v>473</v>
      </c>
      <c r="B574" s="30" t="s">
        <v>291</v>
      </c>
      <c r="C574" s="30" t="s">
        <v>731</v>
      </c>
      <c r="D574" s="30" t="s">
        <v>817</v>
      </c>
      <c r="E574" s="40" t="s">
        <v>88</v>
      </c>
      <c r="F574" s="30" t="s">
        <v>226</v>
      </c>
      <c r="G574" s="118">
        <f>G575</f>
        <v>11122</v>
      </c>
    </row>
    <row r="575" spans="1:7" ht="15" customHeight="1" x14ac:dyDescent="0.2">
      <c r="A575" s="84" t="s">
        <v>227</v>
      </c>
      <c r="B575" s="30" t="s">
        <v>291</v>
      </c>
      <c r="C575" s="30" t="s">
        <v>731</v>
      </c>
      <c r="D575" s="30" t="s">
        <v>817</v>
      </c>
      <c r="E575" s="40" t="s">
        <v>88</v>
      </c>
      <c r="F575" s="30" t="s">
        <v>228</v>
      </c>
      <c r="G575" s="118">
        <f>7000+4122</f>
        <v>11122</v>
      </c>
    </row>
    <row r="576" spans="1:7" x14ac:dyDescent="0.2">
      <c r="A576" s="80" t="s">
        <v>672</v>
      </c>
      <c r="B576" s="24" t="s">
        <v>291</v>
      </c>
      <c r="C576" s="24" t="s">
        <v>731</v>
      </c>
      <c r="D576" s="24" t="s">
        <v>731</v>
      </c>
      <c r="E576" s="24"/>
      <c r="F576" s="24"/>
      <c r="G576" s="42">
        <f>G577</f>
        <v>6346</v>
      </c>
    </row>
    <row r="577" spans="1:7" ht="27" x14ac:dyDescent="0.2">
      <c r="A577" s="86" t="s">
        <v>439</v>
      </c>
      <c r="B577" s="53" t="s">
        <v>291</v>
      </c>
      <c r="C577" s="53" t="s">
        <v>731</v>
      </c>
      <c r="D577" s="53" t="s">
        <v>731</v>
      </c>
      <c r="E577" s="53" t="s">
        <v>425</v>
      </c>
      <c r="F577" s="53"/>
      <c r="G577" s="57">
        <f>G578</f>
        <v>6346</v>
      </c>
    </row>
    <row r="578" spans="1:7" ht="24" x14ac:dyDescent="0.2">
      <c r="A578" s="82" t="s">
        <v>540</v>
      </c>
      <c r="B578" s="24" t="s">
        <v>291</v>
      </c>
      <c r="C578" s="24" t="s">
        <v>731</v>
      </c>
      <c r="D578" s="24" t="s">
        <v>731</v>
      </c>
      <c r="E578" s="24" t="s">
        <v>425</v>
      </c>
      <c r="F578" s="24"/>
      <c r="G578" s="42">
        <f>G579</f>
        <v>6346</v>
      </c>
    </row>
    <row r="579" spans="1:7" ht="24" x14ac:dyDescent="0.2">
      <c r="A579" s="83" t="s">
        <v>704</v>
      </c>
      <c r="B579" s="25" t="s">
        <v>291</v>
      </c>
      <c r="C579" s="25" t="s">
        <v>731</v>
      </c>
      <c r="D579" s="25" t="s">
        <v>731</v>
      </c>
      <c r="E579" s="25" t="s">
        <v>425</v>
      </c>
      <c r="F579" s="25"/>
      <c r="G579" s="45">
        <f>G580+G583</f>
        <v>6346</v>
      </c>
    </row>
    <row r="580" spans="1:7" x14ac:dyDescent="0.2">
      <c r="A580" s="82" t="s">
        <v>685</v>
      </c>
      <c r="B580" s="24" t="s">
        <v>291</v>
      </c>
      <c r="C580" s="24" t="s">
        <v>731</v>
      </c>
      <c r="D580" s="24" t="s">
        <v>731</v>
      </c>
      <c r="E580" s="24" t="s">
        <v>541</v>
      </c>
      <c r="F580" s="24"/>
      <c r="G580" s="42">
        <f>G581</f>
        <v>6153</v>
      </c>
    </row>
    <row r="581" spans="1:7" ht="36" x14ac:dyDescent="0.2">
      <c r="A581" s="84" t="s">
        <v>217</v>
      </c>
      <c r="B581" s="30" t="s">
        <v>291</v>
      </c>
      <c r="C581" s="30" t="s">
        <v>731</v>
      </c>
      <c r="D581" s="30" t="s">
        <v>731</v>
      </c>
      <c r="E581" s="30" t="s">
        <v>541</v>
      </c>
      <c r="F581" s="30" t="s">
        <v>218</v>
      </c>
      <c r="G581" s="41">
        <f>G582</f>
        <v>6153</v>
      </c>
    </row>
    <row r="582" spans="1:7" x14ac:dyDescent="0.2">
      <c r="A582" s="84" t="s">
        <v>219</v>
      </c>
      <c r="B582" s="30" t="s">
        <v>291</v>
      </c>
      <c r="C582" s="30" t="s">
        <v>731</v>
      </c>
      <c r="D582" s="30" t="s">
        <v>731</v>
      </c>
      <c r="E582" s="30" t="s">
        <v>541</v>
      </c>
      <c r="F582" s="30" t="s">
        <v>224</v>
      </c>
      <c r="G582" s="41">
        <f>4726+1427</f>
        <v>6153</v>
      </c>
    </row>
    <row r="583" spans="1:7" x14ac:dyDescent="0.2">
      <c r="A583" s="80" t="s">
        <v>225</v>
      </c>
      <c r="B583" s="24" t="s">
        <v>291</v>
      </c>
      <c r="C583" s="24" t="s">
        <v>731</v>
      </c>
      <c r="D583" s="24" t="s">
        <v>731</v>
      </c>
      <c r="E583" s="24" t="s">
        <v>542</v>
      </c>
      <c r="F583" s="24"/>
      <c r="G583" s="42">
        <f>G584+G586</f>
        <v>193</v>
      </c>
    </row>
    <row r="584" spans="1:7" x14ac:dyDescent="0.2">
      <c r="A584" s="84" t="s">
        <v>473</v>
      </c>
      <c r="B584" s="30" t="s">
        <v>291</v>
      </c>
      <c r="C584" s="30" t="s">
        <v>731</v>
      </c>
      <c r="D584" s="30" t="s">
        <v>731</v>
      </c>
      <c r="E584" s="30" t="s">
        <v>542</v>
      </c>
      <c r="F584" s="30" t="s">
        <v>226</v>
      </c>
      <c r="G584" s="41">
        <f>G585</f>
        <v>190</v>
      </c>
    </row>
    <row r="585" spans="1:7" ht="15" customHeight="1" x14ac:dyDescent="0.2">
      <c r="A585" s="84" t="s">
        <v>227</v>
      </c>
      <c r="B585" s="30" t="s">
        <v>291</v>
      </c>
      <c r="C585" s="30" t="s">
        <v>731</v>
      </c>
      <c r="D585" s="30" t="s">
        <v>731</v>
      </c>
      <c r="E585" s="30" t="s">
        <v>542</v>
      </c>
      <c r="F585" s="30" t="s">
        <v>228</v>
      </c>
      <c r="G585" s="41">
        <v>190</v>
      </c>
    </row>
    <row r="586" spans="1:7" x14ac:dyDescent="0.2">
      <c r="A586" s="84" t="s">
        <v>229</v>
      </c>
      <c r="B586" s="30" t="s">
        <v>291</v>
      </c>
      <c r="C586" s="30" t="s">
        <v>731</v>
      </c>
      <c r="D586" s="30" t="s">
        <v>731</v>
      </c>
      <c r="E586" s="30" t="s">
        <v>542</v>
      </c>
      <c r="F586" s="30" t="s">
        <v>230</v>
      </c>
      <c r="G586" s="41">
        <f>G587</f>
        <v>3</v>
      </c>
    </row>
    <row r="587" spans="1:7" x14ac:dyDescent="0.2">
      <c r="A587" s="84" t="s">
        <v>106</v>
      </c>
      <c r="B587" s="30" t="s">
        <v>291</v>
      </c>
      <c r="C587" s="30" t="s">
        <v>731</v>
      </c>
      <c r="D587" s="30" t="s">
        <v>731</v>
      </c>
      <c r="E587" s="30" t="s">
        <v>542</v>
      </c>
      <c r="F587" s="30" t="s">
        <v>231</v>
      </c>
      <c r="G587" s="41">
        <v>3</v>
      </c>
    </row>
    <row r="588" spans="1:7" ht="31.5" x14ac:dyDescent="0.2">
      <c r="A588" s="79" t="s">
        <v>705</v>
      </c>
      <c r="B588" s="46" t="s">
        <v>706</v>
      </c>
      <c r="C588" s="47"/>
      <c r="D588" s="47"/>
      <c r="E588" s="47"/>
      <c r="F588" s="47"/>
      <c r="G588" s="102">
        <f>G595+G610+G675+G716+G666+G589+G705</f>
        <v>223707.05078999998</v>
      </c>
    </row>
    <row r="589" spans="1:7" x14ac:dyDescent="0.2">
      <c r="A589" s="80" t="s">
        <v>256</v>
      </c>
      <c r="B589" s="24" t="s">
        <v>706</v>
      </c>
      <c r="C589" s="24" t="s">
        <v>214</v>
      </c>
      <c r="D589" s="24" t="s">
        <v>215</v>
      </c>
      <c r="E589" s="24"/>
      <c r="F589" s="24"/>
      <c r="G589" s="42">
        <f>G590</f>
        <v>3.4039600000000001</v>
      </c>
    </row>
    <row r="590" spans="1:7" x14ac:dyDescent="0.2">
      <c r="A590" s="80" t="s">
        <v>509</v>
      </c>
      <c r="B590" s="24" t="s">
        <v>706</v>
      </c>
      <c r="C590" s="24" t="s">
        <v>214</v>
      </c>
      <c r="D590" s="24" t="s">
        <v>235</v>
      </c>
      <c r="E590" s="24"/>
      <c r="F590" s="24"/>
      <c r="G590" s="42">
        <f>G591</f>
        <v>3.4039600000000001</v>
      </c>
    </row>
    <row r="591" spans="1:7" x14ac:dyDescent="0.2">
      <c r="A591" s="80" t="s">
        <v>476</v>
      </c>
      <c r="B591" s="24" t="s">
        <v>706</v>
      </c>
      <c r="C591" s="24" t="s">
        <v>214</v>
      </c>
      <c r="D591" s="24" t="s">
        <v>235</v>
      </c>
      <c r="E591" s="43" t="s">
        <v>383</v>
      </c>
      <c r="F591" s="24"/>
      <c r="G591" s="42">
        <f>G592</f>
        <v>3.4039600000000001</v>
      </c>
    </row>
    <row r="592" spans="1:7" x14ac:dyDescent="0.2">
      <c r="A592" s="83" t="s">
        <v>510</v>
      </c>
      <c r="B592" s="25" t="s">
        <v>706</v>
      </c>
      <c r="C592" s="25" t="s">
        <v>214</v>
      </c>
      <c r="D592" s="25" t="s">
        <v>235</v>
      </c>
      <c r="E592" s="54" t="s">
        <v>147</v>
      </c>
      <c r="F592" s="25"/>
      <c r="G592" s="45">
        <f>G593</f>
        <v>3.4039600000000001</v>
      </c>
    </row>
    <row r="593" spans="1:7" x14ac:dyDescent="0.2">
      <c r="A593" s="84" t="s">
        <v>229</v>
      </c>
      <c r="B593" s="30" t="s">
        <v>706</v>
      </c>
      <c r="C593" s="30" t="s">
        <v>214</v>
      </c>
      <c r="D593" s="30" t="s">
        <v>235</v>
      </c>
      <c r="E593" s="40" t="s">
        <v>147</v>
      </c>
      <c r="F593" s="30" t="s">
        <v>230</v>
      </c>
      <c r="G593" s="41">
        <f>G594</f>
        <v>3.4039600000000001</v>
      </c>
    </row>
    <row r="594" spans="1:7" x14ac:dyDescent="0.2">
      <c r="A594" s="84" t="s">
        <v>306</v>
      </c>
      <c r="B594" s="30" t="s">
        <v>706</v>
      </c>
      <c r="C594" s="30" t="s">
        <v>214</v>
      </c>
      <c r="D594" s="30" t="s">
        <v>235</v>
      </c>
      <c r="E594" s="40" t="s">
        <v>147</v>
      </c>
      <c r="F594" s="30" t="s">
        <v>310</v>
      </c>
      <c r="G594" s="41">
        <f>2.69295+0.71101</f>
        <v>3.4039600000000001</v>
      </c>
    </row>
    <row r="595" spans="1:7" x14ac:dyDescent="0.2">
      <c r="A595" s="80" t="s">
        <v>655</v>
      </c>
      <c r="B595" s="24" t="s">
        <v>706</v>
      </c>
      <c r="C595" s="24" t="s">
        <v>216</v>
      </c>
      <c r="D595" s="24" t="s">
        <v>215</v>
      </c>
      <c r="E595" s="24"/>
      <c r="F595" s="24"/>
      <c r="G595" s="42">
        <f>G596</f>
        <v>11702.8</v>
      </c>
    </row>
    <row r="596" spans="1:7" x14ac:dyDescent="0.2">
      <c r="A596" s="80" t="s">
        <v>698</v>
      </c>
      <c r="B596" s="24" t="s">
        <v>706</v>
      </c>
      <c r="C596" s="24" t="s">
        <v>216</v>
      </c>
      <c r="D596" s="24" t="s">
        <v>823</v>
      </c>
      <c r="E596" s="33"/>
      <c r="F596" s="24"/>
      <c r="G596" s="42">
        <f>G597</f>
        <v>11702.8</v>
      </c>
    </row>
    <row r="597" spans="1:7" ht="27" x14ac:dyDescent="0.2">
      <c r="A597" s="86" t="s">
        <v>549</v>
      </c>
      <c r="B597" s="53" t="s">
        <v>706</v>
      </c>
      <c r="C597" s="53" t="s">
        <v>216</v>
      </c>
      <c r="D597" s="53" t="s">
        <v>823</v>
      </c>
      <c r="E597" s="53" t="s">
        <v>444</v>
      </c>
      <c r="F597" s="53"/>
      <c r="G597" s="57">
        <f>G598+G601+G604+G607</f>
        <v>11702.8</v>
      </c>
    </row>
    <row r="598" spans="1:7" x14ac:dyDescent="0.2">
      <c r="A598" s="80" t="s">
        <v>395</v>
      </c>
      <c r="B598" s="24" t="s">
        <v>706</v>
      </c>
      <c r="C598" s="24" t="s">
        <v>216</v>
      </c>
      <c r="D598" s="24" t="s">
        <v>823</v>
      </c>
      <c r="E598" s="24" t="s">
        <v>843</v>
      </c>
      <c r="F598" s="24"/>
      <c r="G598" s="42">
        <f>G599</f>
        <v>6800</v>
      </c>
    </row>
    <row r="599" spans="1:7" x14ac:dyDescent="0.2">
      <c r="A599" s="84" t="s">
        <v>473</v>
      </c>
      <c r="B599" s="30" t="s">
        <v>706</v>
      </c>
      <c r="C599" s="30" t="s">
        <v>216</v>
      </c>
      <c r="D599" s="30" t="s">
        <v>823</v>
      </c>
      <c r="E599" s="30" t="s">
        <v>843</v>
      </c>
      <c r="F599" s="30" t="s">
        <v>226</v>
      </c>
      <c r="G599" s="41">
        <f>G600</f>
        <v>6800</v>
      </c>
    </row>
    <row r="600" spans="1:7" ht="15" customHeight="1" x14ac:dyDescent="0.2">
      <c r="A600" s="84" t="s">
        <v>227</v>
      </c>
      <c r="B600" s="30" t="s">
        <v>706</v>
      </c>
      <c r="C600" s="30" t="s">
        <v>216</v>
      </c>
      <c r="D600" s="30" t="s">
        <v>823</v>
      </c>
      <c r="E600" s="30" t="s">
        <v>843</v>
      </c>
      <c r="F600" s="30" t="s">
        <v>228</v>
      </c>
      <c r="G600" s="41">
        <f>5500+1000+300</f>
        <v>6800</v>
      </c>
    </row>
    <row r="601" spans="1:7" x14ac:dyDescent="0.2">
      <c r="A601" s="80" t="s">
        <v>844</v>
      </c>
      <c r="B601" s="24" t="s">
        <v>706</v>
      </c>
      <c r="C601" s="24" t="s">
        <v>216</v>
      </c>
      <c r="D601" s="24" t="s">
        <v>823</v>
      </c>
      <c r="E601" s="24" t="s">
        <v>845</v>
      </c>
      <c r="F601" s="24"/>
      <c r="G601" s="42">
        <f>G602</f>
        <v>2000</v>
      </c>
    </row>
    <row r="602" spans="1:7" x14ac:dyDescent="0.2">
      <c r="A602" s="84" t="s">
        <v>473</v>
      </c>
      <c r="B602" s="30" t="s">
        <v>706</v>
      </c>
      <c r="C602" s="30" t="s">
        <v>216</v>
      </c>
      <c r="D602" s="30" t="s">
        <v>823</v>
      </c>
      <c r="E602" s="30" t="s">
        <v>845</v>
      </c>
      <c r="F602" s="30" t="s">
        <v>226</v>
      </c>
      <c r="G602" s="41">
        <f>G603</f>
        <v>2000</v>
      </c>
    </row>
    <row r="603" spans="1:7" ht="15" customHeight="1" x14ac:dyDescent="0.2">
      <c r="A603" s="84" t="s">
        <v>227</v>
      </c>
      <c r="B603" s="30" t="s">
        <v>706</v>
      </c>
      <c r="C603" s="30" t="s">
        <v>216</v>
      </c>
      <c r="D603" s="30" t="s">
        <v>823</v>
      </c>
      <c r="E603" s="30" t="s">
        <v>845</v>
      </c>
      <c r="F603" s="30" t="s">
        <v>228</v>
      </c>
      <c r="G603" s="41">
        <v>2000</v>
      </c>
    </row>
    <row r="604" spans="1:7" x14ac:dyDescent="0.2">
      <c r="A604" s="75" t="s">
        <v>286</v>
      </c>
      <c r="B604" s="24" t="s">
        <v>706</v>
      </c>
      <c r="C604" s="24" t="s">
        <v>216</v>
      </c>
      <c r="D604" s="24" t="s">
        <v>823</v>
      </c>
      <c r="E604" s="24" t="s">
        <v>846</v>
      </c>
      <c r="F604" s="24"/>
      <c r="G604" s="42">
        <f>G605</f>
        <v>100</v>
      </c>
    </row>
    <row r="605" spans="1:7" x14ac:dyDescent="0.2">
      <c r="A605" s="84" t="s">
        <v>473</v>
      </c>
      <c r="B605" s="30" t="s">
        <v>706</v>
      </c>
      <c r="C605" s="30" t="s">
        <v>216</v>
      </c>
      <c r="D605" s="30" t="s">
        <v>823</v>
      </c>
      <c r="E605" s="30" t="s">
        <v>846</v>
      </c>
      <c r="F605" s="30" t="s">
        <v>226</v>
      </c>
      <c r="G605" s="41">
        <f>G606</f>
        <v>100</v>
      </c>
    </row>
    <row r="606" spans="1:7" ht="15" customHeight="1" x14ac:dyDescent="0.2">
      <c r="A606" s="84" t="s">
        <v>227</v>
      </c>
      <c r="B606" s="30" t="s">
        <v>706</v>
      </c>
      <c r="C606" s="30" t="s">
        <v>216</v>
      </c>
      <c r="D606" s="30" t="s">
        <v>823</v>
      </c>
      <c r="E606" s="30" t="s">
        <v>846</v>
      </c>
      <c r="F606" s="30" t="s">
        <v>228</v>
      </c>
      <c r="G606" s="41">
        <v>100</v>
      </c>
    </row>
    <row r="607" spans="1:7" x14ac:dyDescent="0.2">
      <c r="A607" s="80" t="s">
        <v>396</v>
      </c>
      <c r="B607" s="24" t="s">
        <v>706</v>
      </c>
      <c r="C607" s="24" t="s">
        <v>216</v>
      </c>
      <c r="D607" s="24" t="s">
        <v>823</v>
      </c>
      <c r="E607" s="24" t="s">
        <v>847</v>
      </c>
      <c r="F607" s="24"/>
      <c r="G607" s="138">
        <f>G608</f>
        <v>2802.8</v>
      </c>
    </row>
    <row r="608" spans="1:7" x14ac:dyDescent="0.2">
      <c r="A608" s="84" t="s">
        <v>473</v>
      </c>
      <c r="B608" s="30" t="s">
        <v>706</v>
      </c>
      <c r="C608" s="30" t="s">
        <v>216</v>
      </c>
      <c r="D608" s="30" t="s">
        <v>823</v>
      </c>
      <c r="E608" s="30" t="s">
        <v>847</v>
      </c>
      <c r="F608" s="30" t="s">
        <v>226</v>
      </c>
      <c r="G608" s="139">
        <f>G609</f>
        <v>2802.8</v>
      </c>
    </row>
    <row r="609" spans="1:7" ht="15" customHeight="1" x14ac:dyDescent="0.2">
      <c r="A609" s="84" t="s">
        <v>227</v>
      </c>
      <c r="B609" s="30" t="s">
        <v>706</v>
      </c>
      <c r="C609" s="30" t="s">
        <v>216</v>
      </c>
      <c r="D609" s="30" t="s">
        <v>823</v>
      </c>
      <c r="E609" s="30" t="s">
        <v>847</v>
      </c>
      <c r="F609" s="30" t="s">
        <v>228</v>
      </c>
      <c r="G609" s="139">
        <v>2802.8</v>
      </c>
    </row>
    <row r="610" spans="1:7" x14ac:dyDescent="0.2">
      <c r="A610" s="80" t="s">
        <v>667</v>
      </c>
      <c r="B610" s="24" t="s">
        <v>706</v>
      </c>
      <c r="C610" s="24" t="s">
        <v>731</v>
      </c>
      <c r="D610" s="24" t="s">
        <v>215</v>
      </c>
      <c r="E610" s="24"/>
      <c r="F610" s="24"/>
      <c r="G610" s="42">
        <f>G611+G628+G643+G654</f>
        <v>128696.48827</v>
      </c>
    </row>
    <row r="611" spans="1:7" x14ac:dyDescent="0.2">
      <c r="A611" s="80" t="s">
        <v>668</v>
      </c>
      <c r="B611" s="24" t="s">
        <v>706</v>
      </c>
      <c r="C611" s="24" t="s">
        <v>731</v>
      </c>
      <c r="D611" s="24" t="s">
        <v>214</v>
      </c>
      <c r="E611" s="24"/>
      <c r="F611" s="24"/>
      <c r="G611" s="42">
        <f>G612</f>
        <v>86043.950790000003</v>
      </c>
    </row>
    <row r="612" spans="1:7" ht="27" x14ac:dyDescent="0.2">
      <c r="A612" s="86" t="s">
        <v>549</v>
      </c>
      <c r="B612" s="53" t="s">
        <v>706</v>
      </c>
      <c r="C612" s="53" t="s">
        <v>731</v>
      </c>
      <c r="D612" s="53" t="s">
        <v>214</v>
      </c>
      <c r="E612" s="53" t="s">
        <v>444</v>
      </c>
      <c r="F612" s="53"/>
      <c r="G612" s="57">
        <f>G622+G625+G619+G613+G616</f>
        <v>86043.950790000003</v>
      </c>
    </row>
    <row r="613" spans="1:7" ht="67.5" x14ac:dyDescent="0.2">
      <c r="A613" s="170" t="s">
        <v>638</v>
      </c>
      <c r="B613" s="53" t="s">
        <v>706</v>
      </c>
      <c r="C613" s="53" t="s">
        <v>731</v>
      </c>
      <c r="D613" s="53" t="s">
        <v>214</v>
      </c>
      <c r="E613" s="53" t="s">
        <v>635</v>
      </c>
      <c r="F613" s="53"/>
      <c r="G613" s="57">
        <f>G614</f>
        <v>65994.8</v>
      </c>
    </row>
    <row r="614" spans="1:7" x14ac:dyDescent="0.2">
      <c r="A614" s="84" t="s">
        <v>394</v>
      </c>
      <c r="B614" s="30" t="s">
        <v>706</v>
      </c>
      <c r="C614" s="30" t="s">
        <v>731</v>
      </c>
      <c r="D614" s="30" t="s">
        <v>214</v>
      </c>
      <c r="E614" s="30" t="s">
        <v>635</v>
      </c>
      <c r="F614" s="30" t="s">
        <v>733</v>
      </c>
      <c r="G614" s="41">
        <f>G615</f>
        <v>65994.8</v>
      </c>
    </row>
    <row r="615" spans="1:7" x14ac:dyDescent="0.2">
      <c r="A615" s="84" t="s">
        <v>734</v>
      </c>
      <c r="B615" s="30" t="s">
        <v>706</v>
      </c>
      <c r="C615" s="30" t="s">
        <v>731</v>
      </c>
      <c r="D615" s="30" t="s">
        <v>214</v>
      </c>
      <c r="E615" s="30" t="s">
        <v>635</v>
      </c>
      <c r="F615" s="30" t="s">
        <v>735</v>
      </c>
      <c r="G615" s="41">
        <f>19798.44+46196.36</f>
        <v>65994.8</v>
      </c>
    </row>
    <row r="616" spans="1:7" ht="54" x14ac:dyDescent="0.2">
      <c r="A616" s="86" t="s">
        <v>636</v>
      </c>
      <c r="B616" s="53" t="s">
        <v>706</v>
      </c>
      <c r="C616" s="53" t="s">
        <v>731</v>
      </c>
      <c r="D616" s="53" t="s">
        <v>214</v>
      </c>
      <c r="E616" s="53" t="s">
        <v>637</v>
      </c>
      <c r="F616" s="53"/>
      <c r="G616" s="57">
        <f>G617</f>
        <v>3449.1507900000001</v>
      </c>
    </row>
    <row r="617" spans="1:7" x14ac:dyDescent="0.2">
      <c r="A617" s="84" t="s">
        <v>394</v>
      </c>
      <c r="B617" s="30" t="s">
        <v>706</v>
      </c>
      <c r="C617" s="30" t="s">
        <v>731</v>
      </c>
      <c r="D617" s="30" t="s">
        <v>214</v>
      </c>
      <c r="E617" s="30" t="s">
        <v>637</v>
      </c>
      <c r="F617" s="30" t="s">
        <v>733</v>
      </c>
      <c r="G617" s="41">
        <f>G618</f>
        <v>3449.1507900000001</v>
      </c>
    </row>
    <row r="618" spans="1:7" x14ac:dyDescent="0.2">
      <c r="A618" s="84" t="s">
        <v>734</v>
      </c>
      <c r="B618" s="30" t="s">
        <v>706</v>
      </c>
      <c r="C618" s="30" t="s">
        <v>731</v>
      </c>
      <c r="D618" s="30" t="s">
        <v>214</v>
      </c>
      <c r="E618" s="30" t="s">
        <v>637</v>
      </c>
      <c r="F618" s="30" t="s">
        <v>735</v>
      </c>
      <c r="G618" s="41">
        <f>700+2749.15079</f>
        <v>3449.1507900000001</v>
      </c>
    </row>
    <row r="619" spans="1:7" ht="24" x14ac:dyDescent="0.2">
      <c r="A619" s="80" t="s">
        <v>613</v>
      </c>
      <c r="B619" s="24" t="s">
        <v>706</v>
      </c>
      <c r="C619" s="24" t="s">
        <v>731</v>
      </c>
      <c r="D619" s="24" t="s">
        <v>214</v>
      </c>
      <c r="E619" s="24" t="s">
        <v>614</v>
      </c>
      <c r="F619" s="24"/>
      <c r="G619" s="42">
        <f>G620</f>
        <v>8000</v>
      </c>
    </row>
    <row r="620" spans="1:7" x14ac:dyDescent="0.2">
      <c r="A620" s="84" t="s">
        <v>394</v>
      </c>
      <c r="B620" s="30" t="s">
        <v>706</v>
      </c>
      <c r="C620" s="30" t="s">
        <v>731</v>
      </c>
      <c r="D620" s="30" t="s">
        <v>214</v>
      </c>
      <c r="E620" s="30" t="s">
        <v>614</v>
      </c>
      <c r="F620" s="30" t="s">
        <v>733</v>
      </c>
      <c r="G620" s="41">
        <f>G621</f>
        <v>8000</v>
      </c>
    </row>
    <row r="621" spans="1:7" x14ac:dyDescent="0.2">
      <c r="A621" s="84" t="s">
        <v>734</v>
      </c>
      <c r="B621" s="30" t="s">
        <v>706</v>
      </c>
      <c r="C621" s="30" t="s">
        <v>731</v>
      </c>
      <c r="D621" s="30" t="s">
        <v>214</v>
      </c>
      <c r="E621" s="30" t="s">
        <v>614</v>
      </c>
      <c r="F621" s="30" t="s">
        <v>735</v>
      </c>
      <c r="G621" s="41">
        <f>4700+3300</f>
        <v>8000</v>
      </c>
    </row>
    <row r="622" spans="1:7" ht="24" x14ac:dyDescent="0.2">
      <c r="A622" s="80" t="s">
        <v>848</v>
      </c>
      <c r="B622" s="24" t="s">
        <v>706</v>
      </c>
      <c r="C622" s="24" t="s">
        <v>731</v>
      </c>
      <c r="D622" s="24" t="s">
        <v>214</v>
      </c>
      <c r="E622" s="24" t="s">
        <v>849</v>
      </c>
      <c r="F622" s="24"/>
      <c r="G622" s="117">
        <f>G623</f>
        <v>1000</v>
      </c>
    </row>
    <row r="623" spans="1:7" x14ac:dyDescent="0.2">
      <c r="A623" s="84" t="s">
        <v>473</v>
      </c>
      <c r="B623" s="30" t="s">
        <v>706</v>
      </c>
      <c r="C623" s="30" t="s">
        <v>731</v>
      </c>
      <c r="D623" s="30" t="s">
        <v>214</v>
      </c>
      <c r="E623" s="30" t="s">
        <v>849</v>
      </c>
      <c r="F623" s="30" t="s">
        <v>226</v>
      </c>
      <c r="G623" s="118">
        <f>G624</f>
        <v>1000</v>
      </c>
    </row>
    <row r="624" spans="1:7" ht="15" customHeight="1" x14ac:dyDescent="0.2">
      <c r="A624" s="84" t="s">
        <v>227</v>
      </c>
      <c r="B624" s="30" t="s">
        <v>706</v>
      </c>
      <c r="C624" s="30" t="s">
        <v>731</v>
      </c>
      <c r="D624" s="30" t="s">
        <v>214</v>
      </c>
      <c r="E624" s="30" t="s">
        <v>849</v>
      </c>
      <c r="F624" s="30" t="s">
        <v>228</v>
      </c>
      <c r="G624" s="118">
        <v>1000</v>
      </c>
    </row>
    <row r="625" spans="1:7" x14ac:dyDescent="0.2">
      <c r="A625" s="75" t="s">
        <v>286</v>
      </c>
      <c r="B625" s="24" t="s">
        <v>706</v>
      </c>
      <c r="C625" s="24" t="s">
        <v>731</v>
      </c>
      <c r="D625" s="24" t="s">
        <v>214</v>
      </c>
      <c r="E625" s="24" t="s">
        <v>846</v>
      </c>
      <c r="F625" s="30"/>
      <c r="G625" s="117">
        <f>G626</f>
        <v>7600</v>
      </c>
    </row>
    <row r="626" spans="1:7" x14ac:dyDescent="0.2">
      <c r="A626" s="84" t="s">
        <v>394</v>
      </c>
      <c r="B626" s="30" t="s">
        <v>706</v>
      </c>
      <c r="C626" s="30" t="s">
        <v>731</v>
      </c>
      <c r="D626" s="30" t="s">
        <v>214</v>
      </c>
      <c r="E626" s="30" t="s">
        <v>846</v>
      </c>
      <c r="F626" s="30" t="s">
        <v>733</v>
      </c>
      <c r="G626" s="118">
        <f>G627</f>
        <v>7600</v>
      </c>
    </row>
    <row r="627" spans="1:7" x14ac:dyDescent="0.2">
      <c r="A627" s="84" t="s">
        <v>734</v>
      </c>
      <c r="B627" s="30" t="s">
        <v>706</v>
      </c>
      <c r="C627" s="30" t="s">
        <v>731</v>
      </c>
      <c r="D627" s="30" t="s">
        <v>214</v>
      </c>
      <c r="E627" s="30" t="s">
        <v>846</v>
      </c>
      <c r="F627" s="30" t="s">
        <v>735</v>
      </c>
      <c r="G627" s="118">
        <f>3500+700+2900+500</f>
        <v>7600</v>
      </c>
    </row>
    <row r="628" spans="1:7" x14ac:dyDescent="0.2">
      <c r="A628" s="80" t="s">
        <v>669</v>
      </c>
      <c r="B628" s="24" t="s">
        <v>706</v>
      </c>
      <c r="C628" s="24" t="s">
        <v>731</v>
      </c>
      <c r="D628" s="24" t="s">
        <v>825</v>
      </c>
      <c r="E628" s="24"/>
      <c r="F628" s="24"/>
      <c r="G628" s="42">
        <f>G629</f>
        <v>17614.537479999999</v>
      </c>
    </row>
    <row r="629" spans="1:7" x14ac:dyDescent="0.2">
      <c r="A629" s="83" t="s">
        <v>670</v>
      </c>
      <c r="B629" s="25" t="s">
        <v>706</v>
      </c>
      <c r="C629" s="25" t="s">
        <v>731</v>
      </c>
      <c r="D629" s="25" t="s">
        <v>825</v>
      </c>
      <c r="E629" s="33"/>
      <c r="F629" s="33"/>
      <c r="G629" s="45">
        <f>G630</f>
        <v>17614.537479999999</v>
      </c>
    </row>
    <row r="630" spans="1:7" ht="27" x14ac:dyDescent="0.2">
      <c r="A630" s="86" t="s">
        <v>549</v>
      </c>
      <c r="B630" s="53" t="s">
        <v>706</v>
      </c>
      <c r="C630" s="53" t="s">
        <v>731</v>
      </c>
      <c r="D630" s="53" t="s">
        <v>825</v>
      </c>
      <c r="E630" s="53" t="s">
        <v>444</v>
      </c>
      <c r="F630" s="53"/>
      <c r="G630" s="57">
        <f>G631+G634+G637+G640</f>
        <v>17614.537479999999</v>
      </c>
    </row>
    <row r="631" spans="1:7" x14ac:dyDescent="0.2">
      <c r="A631" s="80" t="s">
        <v>850</v>
      </c>
      <c r="B631" s="24" t="s">
        <v>706</v>
      </c>
      <c r="C631" s="24" t="s">
        <v>731</v>
      </c>
      <c r="D631" s="24" t="s">
        <v>825</v>
      </c>
      <c r="E631" s="24" t="s">
        <v>851</v>
      </c>
      <c r="F631" s="24"/>
      <c r="G631" s="42">
        <f>G632</f>
        <v>500</v>
      </c>
    </row>
    <row r="632" spans="1:7" x14ac:dyDescent="0.2">
      <c r="A632" s="84" t="s">
        <v>473</v>
      </c>
      <c r="B632" s="30" t="s">
        <v>706</v>
      </c>
      <c r="C632" s="30" t="s">
        <v>731</v>
      </c>
      <c r="D632" s="30" t="s">
        <v>825</v>
      </c>
      <c r="E632" s="30" t="s">
        <v>851</v>
      </c>
      <c r="F632" s="30" t="s">
        <v>226</v>
      </c>
      <c r="G632" s="41">
        <f>G633</f>
        <v>500</v>
      </c>
    </row>
    <row r="633" spans="1:7" ht="15" customHeight="1" x14ac:dyDescent="0.2">
      <c r="A633" s="84" t="s">
        <v>227</v>
      </c>
      <c r="B633" s="30" t="s">
        <v>706</v>
      </c>
      <c r="C633" s="30" t="s">
        <v>731</v>
      </c>
      <c r="D633" s="30" t="s">
        <v>825</v>
      </c>
      <c r="E633" s="30" t="s">
        <v>851</v>
      </c>
      <c r="F633" s="30" t="s">
        <v>228</v>
      </c>
      <c r="G633" s="41">
        <v>500</v>
      </c>
    </row>
    <row r="634" spans="1:7" x14ac:dyDescent="0.2">
      <c r="A634" s="75" t="s">
        <v>286</v>
      </c>
      <c r="B634" s="24" t="s">
        <v>706</v>
      </c>
      <c r="C634" s="24" t="s">
        <v>731</v>
      </c>
      <c r="D634" s="24" t="s">
        <v>825</v>
      </c>
      <c r="E634" s="106" t="s">
        <v>846</v>
      </c>
      <c r="F634" s="24"/>
      <c r="G634" s="42">
        <f>G635</f>
        <v>600</v>
      </c>
    </row>
    <row r="635" spans="1:7" x14ac:dyDescent="0.2">
      <c r="A635" s="84" t="s">
        <v>394</v>
      </c>
      <c r="B635" s="30" t="s">
        <v>706</v>
      </c>
      <c r="C635" s="30" t="s">
        <v>731</v>
      </c>
      <c r="D635" s="30" t="s">
        <v>825</v>
      </c>
      <c r="E635" s="30" t="s">
        <v>846</v>
      </c>
      <c r="F635" s="30" t="s">
        <v>733</v>
      </c>
      <c r="G635" s="41">
        <f>G636</f>
        <v>600</v>
      </c>
    </row>
    <row r="636" spans="1:7" x14ac:dyDescent="0.2">
      <c r="A636" s="84" t="s">
        <v>734</v>
      </c>
      <c r="B636" s="30" t="s">
        <v>706</v>
      </c>
      <c r="C636" s="30" t="s">
        <v>731</v>
      </c>
      <c r="D636" s="30" t="s">
        <v>825</v>
      </c>
      <c r="E636" s="30" t="s">
        <v>846</v>
      </c>
      <c r="F636" s="30" t="s">
        <v>735</v>
      </c>
      <c r="G636" s="41">
        <f>100+500</f>
        <v>600</v>
      </c>
    </row>
    <row r="637" spans="1:7" ht="24" x14ac:dyDescent="0.2">
      <c r="A637" s="80" t="s">
        <v>0</v>
      </c>
      <c r="B637" s="24" t="s">
        <v>706</v>
      </c>
      <c r="C637" s="24" t="s">
        <v>731</v>
      </c>
      <c r="D637" s="24" t="s">
        <v>825</v>
      </c>
      <c r="E637" s="24" t="s">
        <v>1</v>
      </c>
      <c r="F637" s="24"/>
      <c r="G637" s="42">
        <f>G638</f>
        <v>700</v>
      </c>
    </row>
    <row r="638" spans="1:7" x14ac:dyDescent="0.2">
      <c r="A638" s="84" t="s">
        <v>473</v>
      </c>
      <c r="B638" s="30" t="s">
        <v>706</v>
      </c>
      <c r="C638" s="30" t="s">
        <v>731</v>
      </c>
      <c r="D638" s="30" t="s">
        <v>825</v>
      </c>
      <c r="E638" s="30" t="s">
        <v>1</v>
      </c>
      <c r="F638" s="30" t="s">
        <v>226</v>
      </c>
      <c r="G638" s="41">
        <f>G639</f>
        <v>700</v>
      </c>
    </row>
    <row r="639" spans="1:7" ht="15" customHeight="1" x14ac:dyDescent="0.2">
      <c r="A639" s="84" t="s">
        <v>227</v>
      </c>
      <c r="B639" s="30" t="s">
        <v>706</v>
      </c>
      <c r="C639" s="30" t="s">
        <v>731</v>
      </c>
      <c r="D639" s="30" t="s">
        <v>825</v>
      </c>
      <c r="E639" s="30" t="s">
        <v>1</v>
      </c>
      <c r="F639" s="30" t="s">
        <v>228</v>
      </c>
      <c r="G639" s="41">
        <v>700</v>
      </c>
    </row>
    <row r="640" spans="1:7" x14ac:dyDescent="0.2">
      <c r="A640" s="80" t="s">
        <v>396</v>
      </c>
      <c r="B640" s="24" t="s">
        <v>706</v>
      </c>
      <c r="C640" s="24" t="s">
        <v>731</v>
      </c>
      <c r="D640" s="24" t="s">
        <v>825</v>
      </c>
      <c r="E640" s="24" t="s">
        <v>847</v>
      </c>
      <c r="F640" s="24"/>
      <c r="G640" s="42">
        <f>G641</f>
        <v>15814.537480000001</v>
      </c>
    </row>
    <row r="641" spans="1:7" x14ac:dyDescent="0.2">
      <c r="A641" s="84" t="s">
        <v>394</v>
      </c>
      <c r="B641" s="30" t="s">
        <v>706</v>
      </c>
      <c r="C641" s="16" t="s">
        <v>731</v>
      </c>
      <c r="D641" s="16" t="s">
        <v>825</v>
      </c>
      <c r="E641" s="30" t="s">
        <v>847</v>
      </c>
      <c r="F641" s="30" t="s">
        <v>733</v>
      </c>
      <c r="G641" s="41">
        <f>G642</f>
        <v>15814.537480000001</v>
      </c>
    </row>
    <row r="642" spans="1:7" x14ac:dyDescent="0.2">
      <c r="A642" s="84" t="s">
        <v>734</v>
      </c>
      <c r="B642" s="30" t="s">
        <v>706</v>
      </c>
      <c r="C642" s="16" t="s">
        <v>731</v>
      </c>
      <c r="D642" s="16" t="s">
        <v>825</v>
      </c>
      <c r="E642" s="30" t="s">
        <v>847</v>
      </c>
      <c r="F642" s="30" t="s">
        <v>735</v>
      </c>
      <c r="G642" s="41">
        <f>33726.4-500-5000-1200-11.15151-300-600-7300-3000-0.71101</f>
        <v>15814.537480000001</v>
      </c>
    </row>
    <row r="643" spans="1:7" x14ac:dyDescent="0.2">
      <c r="A643" s="80" t="s">
        <v>671</v>
      </c>
      <c r="B643" s="24" t="s">
        <v>706</v>
      </c>
      <c r="C643" s="24" t="s">
        <v>731</v>
      </c>
      <c r="D643" s="24" t="s">
        <v>817</v>
      </c>
      <c r="E643" s="30"/>
      <c r="F643" s="30"/>
      <c r="G643" s="42">
        <f>G644</f>
        <v>18900</v>
      </c>
    </row>
    <row r="644" spans="1:7" ht="27" x14ac:dyDescent="0.2">
      <c r="A644" s="86" t="s">
        <v>549</v>
      </c>
      <c r="B644" s="53" t="s">
        <v>706</v>
      </c>
      <c r="C644" s="53" t="s">
        <v>731</v>
      </c>
      <c r="D644" s="53" t="s">
        <v>817</v>
      </c>
      <c r="E644" s="53" t="s">
        <v>444</v>
      </c>
      <c r="F644" s="53"/>
      <c r="G644" s="57">
        <f>G645+G648+G651</f>
        <v>18900</v>
      </c>
    </row>
    <row r="645" spans="1:7" x14ac:dyDescent="0.2">
      <c r="A645" s="75" t="s">
        <v>2</v>
      </c>
      <c r="B645" s="24" t="s">
        <v>706</v>
      </c>
      <c r="C645" s="24" t="s">
        <v>731</v>
      </c>
      <c r="D645" s="24" t="s">
        <v>817</v>
      </c>
      <c r="E645" s="24" t="s">
        <v>3</v>
      </c>
      <c r="F645" s="24"/>
      <c r="G645" s="42">
        <f>G646</f>
        <v>11400</v>
      </c>
    </row>
    <row r="646" spans="1:7" x14ac:dyDescent="0.2">
      <c r="A646" s="84" t="s">
        <v>357</v>
      </c>
      <c r="B646" s="30" t="s">
        <v>706</v>
      </c>
      <c r="C646" s="30" t="s">
        <v>731</v>
      </c>
      <c r="D646" s="30" t="s">
        <v>817</v>
      </c>
      <c r="E646" s="30" t="s">
        <v>3</v>
      </c>
      <c r="F646" s="30" t="s">
        <v>226</v>
      </c>
      <c r="G646" s="41">
        <f>G647</f>
        <v>11400</v>
      </c>
    </row>
    <row r="647" spans="1:7" ht="15" customHeight="1" x14ac:dyDescent="0.2">
      <c r="A647" s="84" t="s">
        <v>227</v>
      </c>
      <c r="B647" s="30" t="s">
        <v>706</v>
      </c>
      <c r="C647" s="30" t="s">
        <v>731</v>
      </c>
      <c r="D647" s="30" t="s">
        <v>817</v>
      </c>
      <c r="E647" s="30" t="s">
        <v>3</v>
      </c>
      <c r="F647" s="30" t="s">
        <v>228</v>
      </c>
      <c r="G647" s="41">
        <v>11400</v>
      </c>
    </row>
    <row r="648" spans="1:7" x14ac:dyDescent="0.2">
      <c r="A648" s="80" t="s">
        <v>4</v>
      </c>
      <c r="B648" s="24" t="s">
        <v>706</v>
      </c>
      <c r="C648" s="24" t="s">
        <v>731</v>
      </c>
      <c r="D648" s="24" t="s">
        <v>817</v>
      </c>
      <c r="E648" s="24" t="s">
        <v>5</v>
      </c>
      <c r="F648" s="24"/>
      <c r="G648" s="42">
        <f>G649</f>
        <v>7400</v>
      </c>
    </row>
    <row r="649" spans="1:7" x14ac:dyDescent="0.2">
      <c r="A649" s="84" t="s">
        <v>357</v>
      </c>
      <c r="B649" s="30" t="s">
        <v>706</v>
      </c>
      <c r="C649" s="30" t="s">
        <v>731</v>
      </c>
      <c r="D649" s="30" t="s">
        <v>817</v>
      </c>
      <c r="E649" s="30" t="s">
        <v>5</v>
      </c>
      <c r="F649" s="30" t="s">
        <v>226</v>
      </c>
      <c r="G649" s="41">
        <f>G650</f>
        <v>7400</v>
      </c>
    </row>
    <row r="650" spans="1:7" ht="15" customHeight="1" x14ac:dyDescent="0.2">
      <c r="A650" s="84" t="s">
        <v>227</v>
      </c>
      <c r="B650" s="30" t="s">
        <v>706</v>
      </c>
      <c r="C650" s="30" t="s">
        <v>731</v>
      </c>
      <c r="D650" s="30" t="s">
        <v>817</v>
      </c>
      <c r="E650" s="30" t="s">
        <v>5</v>
      </c>
      <c r="F650" s="30" t="s">
        <v>228</v>
      </c>
      <c r="G650" s="41">
        <f>3000+4400</f>
        <v>7400</v>
      </c>
    </row>
    <row r="651" spans="1:7" x14ac:dyDescent="0.2">
      <c r="A651" s="75" t="s">
        <v>286</v>
      </c>
      <c r="B651" s="24" t="s">
        <v>706</v>
      </c>
      <c r="C651" s="24" t="s">
        <v>731</v>
      </c>
      <c r="D651" s="24" t="s">
        <v>817</v>
      </c>
      <c r="E651" s="24" t="s">
        <v>846</v>
      </c>
      <c r="F651" s="24"/>
      <c r="G651" s="117">
        <f>G652</f>
        <v>100</v>
      </c>
    </row>
    <row r="652" spans="1:7" x14ac:dyDescent="0.2">
      <c r="A652" s="84" t="s">
        <v>473</v>
      </c>
      <c r="B652" s="30" t="s">
        <v>706</v>
      </c>
      <c r="C652" s="30" t="s">
        <v>731</v>
      </c>
      <c r="D652" s="30" t="s">
        <v>817</v>
      </c>
      <c r="E652" s="30" t="s">
        <v>846</v>
      </c>
      <c r="F652" s="30" t="s">
        <v>226</v>
      </c>
      <c r="G652" s="118">
        <f>G653</f>
        <v>100</v>
      </c>
    </row>
    <row r="653" spans="1:7" ht="15" customHeight="1" x14ac:dyDescent="0.2">
      <c r="A653" s="84" t="s">
        <v>227</v>
      </c>
      <c r="B653" s="30" t="s">
        <v>706</v>
      </c>
      <c r="C653" s="30" t="s">
        <v>731</v>
      </c>
      <c r="D653" s="30" t="s">
        <v>817</v>
      </c>
      <c r="E653" s="30" t="s">
        <v>846</v>
      </c>
      <c r="F653" s="30" t="s">
        <v>228</v>
      </c>
      <c r="G653" s="118">
        <v>100</v>
      </c>
    </row>
    <row r="654" spans="1:7" x14ac:dyDescent="0.2">
      <c r="A654" s="80" t="s">
        <v>672</v>
      </c>
      <c r="B654" s="24" t="s">
        <v>706</v>
      </c>
      <c r="C654" s="24" t="s">
        <v>731</v>
      </c>
      <c r="D654" s="24" t="s">
        <v>731</v>
      </c>
      <c r="E654" s="24"/>
      <c r="F654" s="24"/>
      <c r="G654" s="42">
        <f>G655</f>
        <v>6138</v>
      </c>
    </row>
    <row r="655" spans="1:7" ht="24" x14ac:dyDescent="0.2">
      <c r="A655" s="83" t="s">
        <v>704</v>
      </c>
      <c r="B655" s="25" t="s">
        <v>706</v>
      </c>
      <c r="C655" s="25" t="s">
        <v>731</v>
      </c>
      <c r="D655" s="25" t="s">
        <v>731</v>
      </c>
      <c r="E655" s="25"/>
      <c r="F655" s="25"/>
      <c r="G655" s="45">
        <f>G656</f>
        <v>6138</v>
      </c>
    </row>
    <row r="656" spans="1:7" x14ac:dyDescent="0.2">
      <c r="A656" s="81" t="s">
        <v>212</v>
      </c>
      <c r="B656" s="25" t="s">
        <v>706</v>
      </c>
      <c r="C656" s="25" t="s">
        <v>731</v>
      </c>
      <c r="D656" s="25" t="s">
        <v>731</v>
      </c>
      <c r="E656" s="25" t="s">
        <v>382</v>
      </c>
      <c r="F656" s="25"/>
      <c r="G656" s="45">
        <f>G657</f>
        <v>6138</v>
      </c>
    </row>
    <row r="657" spans="1:7" x14ac:dyDescent="0.2">
      <c r="A657" s="82" t="s">
        <v>476</v>
      </c>
      <c r="B657" s="24" t="s">
        <v>706</v>
      </c>
      <c r="C657" s="24" t="s">
        <v>731</v>
      </c>
      <c r="D657" s="24" t="s">
        <v>731</v>
      </c>
      <c r="E657" s="24" t="s">
        <v>383</v>
      </c>
      <c r="F657" s="30"/>
      <c r="G657" s="42">
        <f>G658+G661</f>
        <v>6138</v>
      </c>
    </row>
    <row r="658" spans="1:7" x14ac:dyDescent="0.2">
      <c r="A658" s="82" t="s">
        <v>685</v>
      </c>
      <c r="B658" s="24" t="s">
        <v>706</v>
      </c>
      <c r="C658" s="24" t="s">
        <v>731</v>
      </c>
      <c r="D658" s="24" t="s">
        <v>731</v>
      </c>
      <c r="E658" s="24" t="s">
        <v>384</v>
      </c>
      <c r="F658" s="24"/>
      <c r="G658" s="42">
        <f>G659</f>
        <v>5388</v>
      </c>
    </row>
    <row r="659" spans="1:7" ht="36" x14ac:dyDescent="0.2">
      <c r="A659" s="84" t="s">
        <v>217</v>
      </c>
      <c r="B659" s="30" t="s">
        <v>706</v>
      </c>
      <c r="C659" s="30" t="s">
        <v>731</v>
      </c>
      <c r="D659" s="30" t="s">
        <v>731</v>
      </c>
      <c r="E659" s="30" t="s">
        <v>384</v>
      </c>
      <c r="F659" s="30" t="s">
        <v>218</v>
      </c>
      <c r="G659" s="41">
        <f>G660</f>
        <v>5388</v>
      </c>
    </row>
    <row r="660" spans="1:7" x14ac:dyDescent="0.2">
      <c r="A660" s="84" t="s">
        <v>219</v>
      </c>
      <c r="B660" s="30" t="s">
        <v>706</v>
      </c>
      <c r="C660" s="30" t="s">
        <v>731</v>
      </c>
      <c r="D660" s="30" t="s">
        <v>731</v>
      </c>
      <c r="E660" s="30" t="s">
        <v>384</v>
      </c>
      <c r="F660" s="30" t="s">
        <v>224</v>
      </c>
      <c r="G660" s="41">
        <f>4100+50+1238</f>
        <v>5388</v>
      </c>
    </row>
    <row r="661" spans="1:7" x14ac:dyDescent="0.2">
      <c r="A661" s="80" t="s">
        <v>225</v>
      </c>
      <c r="B661" s="24" t="s">
        <v>706</v>
      </c>
      <c r="C661" s="24" t="s">
        <v>731</v>
      </c>
      <c r="D661" s="24" t="s">
        <v>731</v>
      </c>
      <c r="E661" s="24" t="s">
        <v>385</v>
      </c>
      <c r="F661" s="24"/>
      <c r="G661" s="42">
        <f>G662+G664</f>
        <v>750</v>
      </c>
    </row>
    <row r="662" spans="1:7" x14ac:dyDescent="0.2">
      <c r="A662" s="84" t="s">
        <v>473</v>
      </c>
      <c r="B662" s="30" t="s">
        <v>706</v>
      </c>
      <c r="C662" s="30" t="s">
        <v>731</v>
      </c>
      <c r="D662" s="30" t="s">
        <v>731</v>
      </c>
      <c r="E662" s="30" t="s">
        <v>385</v>
      </c>
      <c r="F662" s="30" t="s">
        <v>226</v>
      </c>
      <c r="G662" s="41">
        <f>G663</f>
        <v>705</v>
      </c>
    </row>
    <row r="663" spans="1:7" ht="15" customHeight="1" x14ac:dyDescent="0.2">
      <c r="A663" s="84" t="s">
        <v>227</v>
      </c>
      <c r="B663" s="30" t="s">
        <v>706</v>
      </c>
      <c r="C663" s="30" t="s">
        <v>731</v>
      </c>
      <c r="D663" s="30" t="s">
        <v>731</v>
      </c>
      <c r="E663" s="30" t="s">
        <v>385</v>
      </c>
      <c r="F663" s="30" t="s">
        <v>228</v>
      </c>
      <c r="G663" s="41">
        <f>740-150+115</f>
        <v>705</v>
      </c>
    </row>
    <row r="664" spans="1:7" x14ac:dyDescent="0.2">
      <c r="A664" s="84" t="s">
        <v>229</v>
      </c>
      <c r="B664" s="30" t="s">
        <v>706</v>
      </c>
      <c r="C664" s="30" t="s">
        <v>731</v>
      </c>
      <c r="D664" s="30" t="s">
        <v>731</v>
      </c>
      <c r="E664" s="30" t="s">
        <v>385</v>
      </c>
      <c r="F664" s="30" t="s">
        <v>230</v>
      </c>
      <c r="G664" s="41">
        <f>G665</f>
        <v>45</v>
      </c>
    </row>
    <row r="665" spans="1:7" x14ac:dyDescent="0.2">
      <c r="A665" s="84" t="s">
        <v>106</v>
      </c>
      <c r="B665" s="30" t="s">
        <v>706</v>
      </c>
      <c r="C665" s="30" t="s">
        <v>731</v>
      </c>
      <c r="D665" s="30" t="s">
        <v>731</v>
      </c>
      <c r="E665" s="30" t="s">
        <v>385</v>
      </c>
      <c r="F665" s="30" t="s">
        <v>231</v>
      </c>
      <c r="G665" s="41">
        <f>160-115</f>
        <v>45</v>
      </c>
    </row>
    <row r="666" spans="1:7" x14ac:dyDescent="0.2">
      <c r="A666" s="80" t="s">
        <v>497</v>
      </c>
      <c r="B666" s="24" t="s">
        <v>706</v>
      </c>
      <c r="C666" s="24" t="s">
        <v>474</v>
      </c>
      <c r="D666" s="24" t="s">
        <v>215</v>
      </c>
      <c r="E666" s="24"/>
      <c r="F666" s="24"/>
      <c r="G666" s="42">
        <f>G667</f>
        <v>2200</v>
      </c>
    </row>
    <row r="667" spans="1:7" x14ac:dyDescent="0.2">
      <c r="A667" s="80" t="s">
        <v>498</v>
      </c>
      <c r="B667" s="24" t="s">
        <v>706</v>
      </c>
      <c r="C667" s="24" t="s">
        <v>474</v>
      </c>
      <c r="D667" s="24" t="s">
        <v>817</v>
      </c>
      <c r="E667" s="24"/>
      <c r="F667" s="24"/>
      <c r="G667" s="42">
        <f>G668</f>
        <v>2200</v>
      </c>
    </row>
    <row r="668" spans="1:7" ht="27" x14ac:dyDescent="0.2">
      <c r="A668" s="86" t="s">
        <v>549</v>
      </c>
      <c r="B668" s="53" t="s">
        <v>706</v>
      </c>
      <c r="C668" s="53" t="s">
        <v>474</v>
      </c>
      <c r="D668" s="53" t="s">
        <v>817</v>
      </c>
      <c r="E668" s="53" t="s">
        <v>444</v>
      </c>
      <c r="F668" s="30"/>
      <c r="G668" s="57">
        <f>G669+G672</f>
        <v>2200</v>
      </c>
    </row>
    <row r="669" spans="1:7" x14ac:dyDescent="0.2">
      <c r="A669" s="75" t="s">
        <v>499</v>
      </c>
      <c r="B669" s="24" t="s">
        <v>706</v>
      </c>
      <c r="C669" s="24" t="s">
        <v>474</v>
      </c>
      <c r="D669" s="24" t="s">
        <v>817</v>
      </c>
      <c r="E669" s="106" t="s">
        <v>496</v>
      </c>
      <c r="F669" s="24"/>
      <c r="G669" s="117">
        <f>G670</f>
        <v>400</v>
      </c>
    </row>
    <row r="670" spans="1:7" x14ac:dyDescent="0.2">
      <c r="A670" s="84" t="s">
        <v>394</v>
      </c>
      <c r="B670" s="30" t="s">
        <v>706</v>
      </c>
      <c r="C670" s="30" t="s">
        <v>474</v>
      </c>
      <c r="D670" s="30" t="s">
        <v>817</v>
      </c>
      <c r="E670" s="96" t="s">
        <v>496</v>
      </c>
      <c r="F670" s="30" t="s">
        <v>733</v>
      </c>
      <c r="G670" s="118">
        <f>G671</f>
        <v>400</v>
      </c>
    </row>
    <row r="671" spans="1:7" x14ac:dyDescent="0.2">
      <c r="A671" s="84" t="s">
        <v>734</v>
      </c>
      <c r="B671" s="30" t="s">
        <v>706</v>
      </c>
      <c r="C671" s="30" t="s">
        <v>474</v>
      </c>
      <c r="D671" s="30" t="s">
        <v>817</v>
      </c>
      <c r="E671" s="96" t="s">
        <v>496</v>
      </c>
      <c r="F671" s="30" t="s">
        <v>735</v>
      </c>
      <c r="G671" s="118">
        <f>3000-2600</f>
        <v>400</v>
      </c>
    </row>
    <row r="672" spans="1:7" x14ac:dyDescent="0.2">
      <c r="A672" s="75" t="s">
        <v>286</v>
      </c>
      <c r="B672" s="24" t="s">
        <v>706</v>
      </c>
      <c r="C672" s="24" t="s">
        <v>474</v>
      </c>
      <c r="D672" s="24" t="s">
        <v>817</v>
      </c>
      <c r="E672" s="106" t="s">
        <v>846</v>
      </c>
      <c r="F672" s="24"/>
      <c r="G672" s="42">
        <f>G673</f>
        <v>1800</v>
      </c>
    </row>
    <row r="673" spans="1:7" x14ac:dyDescent="0.2">
      <c r="A673" s="84" t="s">
        <v>394</v>
      </c>
      <c r="B673" s="30" t="s">
        <v>706</v>
      </c>
      <c r="C673" s="30" t="s">
        <v>474</v>
      </c>
      <c r="D673" s="30" t="s">
        <v>817</v>
      </c>
      <c r="E673" s="30" t="s">
        <v>846</v>
      </c>
      <c r="F673" s="30" t="s">
        <v>733</v>
      </c>
      <c r="G673" s="41">
        <f>G674</f>
        <v>1800</v>
      </c>
    </row>
    <row r="674" spans="1:7" x14ac:dyDescent="0.2">
      <c r="A674" s="84" t="s">
        <v>734</v>
      </c>
      <c r="B674" s="30" t="s">
        <v>706</v>
      </c>
      <c r="C674" s="30" t="s">
        <v>474</v>
      </c>
      <c r="D674" s="30" t="s">
        <v>817</v>
      </c>
      <c r="E674" s="30" t="s">
        <v>846</v>
      </c>
      <c r="F674" s="30" t="s">
        <v>735</v>
      </c>
      <c r="G674" s="41">
        <f>1300+500</f>
        <v>1800</v>
      </c>
    </row>
    <row r="675" spans="1:7" x14ac:dyDescent="0.2">
      <c r="A675" s="80" t="s">
        <v>673</v>
      </c>
      <c r="B675" s="24" t="s">
        <v>706</v>
      </c>
      <c r="C675" s="24" t="s">
        <v>824</v>
      </c>
      <c r="D675" s="24" t="s">
        <v>215</v>
      </c>
      <c r="E675" s="24"/>
      <c r="F675" s="24"/>
      <c r="G675" s="42">
        <f>G676+G681+G686</f>
        <v>76995.899999999994</v>
      </c>
    </row>
    <row r="676" spans="1:7" x14ac:dyDescent="0.2">
      <c r="A676" s="66" t="s">
        <v>674</v>
      </c>
      <c r="B676" s="24" t="s">
        <v>706</v>
      </c>
      <c r="C676" s="24" t="s">
        <v>824</v>
      </c>
      <c r="D676" s="24" t="s">
        <v>214</v>
      </c>
      <c r="E676" s="24"/>
      <c r="F676" s="24"/>
      <c r="G676" s="42">
        <f>G677</f>
        <v>2225.1</v>
      </c>
    </row>
    <row r="677" spans="1:7" ht="27" x14ac:dyDescent="0.2">
      <c r="A677" s="86" t="s">
        <v>549</v>
      </c>
      <c r="B677" s="53" t="s">
        <v>706</v>
      </c>
      <c r="C677" s="53" t="s">
        <v>824</v>
      </c>
      <c r="D677" s="53" t="s">
        <v>214</v>
      </c>
      <c r="E677" s="53" t="s">
        <v>444</v>
      </c>
      <c r="F677" s="53"/>
      <c r="G677" s="57">
        <f>G678</f>
        <v>2225.1</v>
      </c>
    </row>
    <row r="678" spans="1:7" ht="39" customHeight="1" x14ac:dyDescent="0.2">
      <c r="A678" s="80" t="s">
        <v>150</v>
      </c>
      <c r="B678" s="24" t="s">
        <v>706</v>
      </c>
      <c r="C678" s="24" t="s">
        <v>824</v>
      </c>
      <c r="D678" s="24" t="s">
        <v>214</v>
      </c>
      <c r="E678" s="24" t="s">
        <v>484</v>
      </c>
      <c r="F678" s="24"/>
      <c r="G678" s="42">
        <f>G679</f>
        <v>2225.1</v>
      </c>
    </row>
    <row r="679" spans="1:7" x14ac:dyDescent="0.2">
      <c r="A679" s="84" t="s">
        <v>322</v>
      </c>
      <c r="B679" s="30" t="s">
        <v>706</v>
      </c>
      <c r="C679" s="30" t="s">
        <v>824</v>
      </c>
      <c r="D679" s="30" t="s">
        <v>214</v>
      </c>
      <c r="E679" s="30" t="s">
        <v>484</v>
      </c>
      <c r="F679" s="30" t="s">
        <v>226</v>
      </c>
      <c r="G679" s="41">
        <f>G680</f>
        <v>2225.1</v>
      </c>
    </row>
    <row r="680" spans="1:7" ht="15" customHeight="1" x14ac:dyDescent="0.2">
      <c r="A680" s="84" t="s">
        <v>227</v>
      </c>
      <c r="B680" s="30" t="s">
        <v>706</v>
      </c>
      <c r="C680" s="30" t="s">
        <v>824</v>
      </c>
      <c r="D680" s="30" t="s">
        <v>214</v>
      </c>
      <c r="E680" s="30" t="s">
        <v>484</v>
      </c>
      <c r="F680" s="30" t="s">
        <v>228</v>
      </c>
      <c r="G680" s="41">
        <v>2225.1</v>
      </c>
    </row>
    <row r="681" spans="1:7" x14ac:dyDescent="0.2">
      <c r="A681" s="80" t="s">
        <v>449</v>
      </c>
      <c r="B681" s="24" t="s">
        <v>706</v>
      </c>
      <c r="C681" s="24" t="s">
        <v>824</v>
      </c>
      <c r="D681" s="24" t="s">
        <v>817</v>
      </c>
      <c r="E681" s="24"/>
      <c r="F681" s="24"/>
      <c r="G681" s="42">
        <f>G682</f>
        <v>500</v>
      </c>
    </row>
    <row r="682" spans="1:7" ht="27" x14ac:dyDescent="0.2">
      <c r="A682" s="86" t="s">
        <v>549</v>
      </c>
      <c r="B682" s="53" t="s">
        <v>706</v>
      </c>
      <c r="C682" s="53" t="s">
        <v>824</v>
      </c>
      <c r="D682" s="53" t="s">
        <v>817</v>
      </c>
      <c r="E682" s="53" t="s">
        <v>444</v>
      </c>
      <c r="F682" s="53"/>
      <c r="G682" s="57">
        <f>G683</f>
        <v>500</v>
      </c>
    </row>
    <row r="683" spans="1:7" ht="39" customHeight="1" x14ac:dyDescent="0.2">
      <c r="A683" s="80" t="s">
        <v>150</v>
      </c>
      <c r="B683" s="24" t="s">
        <v>706</v>
      </c>
      <c r="C683" s="24" t="s">
        <v>824</v>
      </c>
      <c r="D683" s="24" t="s">
        <v>817</v>
      </c>
      <c r="E683" s="24" t="s">
        <v>484</v>
      </c>
      <c r="F683" s="24"/>
      <c r="G683" s="42">
        <f>G684</f>
        <v>500</v>
      </c>
    </row>
    <row r="684" spans="1:7" x14ac:dyDescent="0.2">
      <c r="A684" s="84" t="s">
        <v>322</v>
      </c>
      <c r="B684" s="30" t="s">
        <v>706</v>
      </c>
      <c r="C684" s="30" t="s">
        <v>824</v>
      </c>
      <c r="D684" s="30" t="s">
        <v>817</v>
      </c>
      <c r="E684" s="30" t="s">
        <v>484</v>
      </c>
      <c r="F684" s="30" t="s">
        <v>226</v>
      </c>
      <c r="G684" s="41">
        <f>G685</f>
        <v>500</v>
      </c>
    </row>
    <row r="685" spans="1:7" ht="15" customHeight="1" x14ac:dyDescent="0.2">
      <c r="A685" s="84" t="s">
        <v>227</v>
      </c>
      <c r="B685" s="30" t="s">
        <v>706</v>
      </c>
      <c r="C685" s="30" t="s">
        <v>824</v>
      </c>
      <c r="D685" s="30" t="s">
        <v>817</v>
      </c>
      <c r="E685" s="30" t="s">
        <v>484</v>
      </c>
      <c r="F685" s="30" t="s">
        <v>228</v>
      </c>
      <c r="G685" s="41">
        <v>500</v>
      </c>
    </row>
    <row r="686" spans="1:7" s="51" customFormat="1" x14ac:dyDescent="0.2">
      <c r="A686" s="80" t="s">
        <v>677</v>
      </c>
      <c r="B686" s="24" t="s">
        <v>706</v>
      </c>
      <c r="C686" s="24" t="s">
        <v>824</v>
      </c>
      <c r="D686" s="24" t="s">
        <v>818</v>
      </c>
      <c r="E686" s="30"/>
      <c r="F686" s="24"/>
      <c r="G686" s="42">
        <f>G687</f>
        <v>74270.799999999988</v>
      </c>
    </row>
    <row r="687" spans="1:7" s="48" customFormat="1" ht="27" x14ac:dyDescent="0.2">
      <c r="A687" s="86" t="s">
        <v>549</v>
      </c>
      <c r="B687" s="53" t="s">
        <v>706</v>
      </c>
      <c r="C687" s="53" t="s">
        <v>824</v>
      </c>
      <c r="D687" s="53" t="s">
        <v>818</v>
      </c>
      <c r="E687" s="53" t="s">
        <v>444</v>
      </c>
      <c r="F687" s="53"/>
      <c r="G687" s="57">
        <f>G688+G691+G694+G697+G700</f>
        <v>74270.799999999988</v>
      </c>
    </row>
    <row r="688" spans="1:7" s="48" customFormat="1" x14ac:dyDescent="0.2">
      <c r="A688" s="75" t="s">
        <v>335</v>
      </c>
      <c r="B688" s="24" t="s">
        <v>706</v>
      </c>
      <c r="C688" s="24" t="s">
        <v>824</v>
      </c>
      <c r="D688" s="24" t="s">
        <v>818</v>
      </c>
      <c r="E688" s="106" t="s">
        <v>6</v>
      </c>
      <c r="F688" s="24"/>
      <c r="G688" s="42">
        <f>G689</f>
        <v>46247.7</v>
      </c>
    </row>
    <row r="689" spans="1:7" s="48" customFormat="1" x14ac:dyDescent="0.2">
      <c r="A689" s="84" t="s">
        <v>473</v>
      </c>
      <c r="B689" s="30" t="s">
        <v>706</v>
      </c>
      <c r="C689" s="30" t="s">
        <v>824</v>
      </c>
      <c r="D689" s="30" t="s">
        <v>818</v>
      </c>
      <c r="E689" s="96" t="s">
        <v>6</v>
      </c>
      <c r="F689" s="30" t="s">
        <v>226</v>
      </c>
      <c r="G689" s="41">
        <f>G690</f>
        <v>46247.7</v>
      </c>
    </row>
    <row r="690" spans="1:7" s="48" customFormat="1" ht="15" customHeight="1" x14ac:dyDescent="0.2">
      <c r="A690" s="84" t="s">
        <v>227</v>
      </c>
      <c r="B690" s="30" t="s">
        <v>706</v>
      </c>
      <c r="C690" s="30" t="s">
        <v>824</v>
      </c>
      <c r="D690" s="30" t="s">
        <v>818</v>
      </c>
      <c r="E690" s="96" t="s">
        <v>6</v>
      </c>
      <c r="F690" s="30" t="s">
        <v>228</v>
      </c>
      <c r="G690" s="41">
        <f>39747.7+1200+2000+2500-300+1100</f>
        <v>46247.7</v>
      </c>
    </row>
    <row r="691" spans="1:7" ht="24" x14ac:dyDescent="0.2">
      <c r="A691" s="80" t="s">
        <v>560</v>
      </c>
      <c r="B691" s="24" t="s">
        <v>706</v>
      </c>
      <c r="C691" s="24" t="s">
        <v>824</v>
      </c>
      <c r="D691" s="24" t="s">
        <v>818</v>
      </c>
      <c r="E691" s="106" t="s">
        <v>7</v>
      </c>
      <c r="F691" s="24"/>
      <c r="G691" s="42">
        <f>G692</f>
        <v>22645.200000000001</v>
      </c>
    </row>
    <row r="692" spans="1:7" x14ac:dyDescent="0.2">
      <c r="A692" s="84" t="s">
        <v>394</v>
      </c>
      <c r="B692" s="30" t="s">
        <v>706</v>
      </c>
      <c r="C692" s="30" t="s">
        <v>824</v>
      </c>
      <c r="D692" s="30" t="s">
        <v>818</v>
      </c>
      <c r="E692" s="30" t="s">
        <v>7</v>
      </c>
      <c r="F692" s="30" t="s">
        <v>733</v>
      </c>
      <c r="G692" s="41">
        <f>G693</f>
        <v>22645.200000000001</v>
      </c>
    </row>
    <row r="693" spans="1:7" x14ac:dyDescent="0.2">
      <c r="A693" s="84" t="s">
        <v>734</v>
      </c>
      <c r="B693" s="30" t="s">
        <v>706</v>
      </c>
      <c r="C693" s="30" t="s">
        <v>824</v>
      </c>
      <c r="D693" s="30" t="s">
        <v>818</v>
      </c>
      <c r="E693" s="30" t="s">
        <v>7</v>
      </c>
      <c r="F693" s="30" t="s">
        <v>735</v>
      </c>
      <c r="G693" s="41">
        <v>22645.200000000001</v>
      </c>
    </row>
    <row r="694" spans="1:7" ht="14.25" customHeight="1" x14ac:dyDescent="0.2">
      <c r="A694" s="80" t="s">
        <v>8</v>
      </c>
      <c r="B694" s="24" t="s">
        <v>706</v>
      </c>
      <c r="C694" s="24" t="s">
        <v>824</v>
      </c>
      <c r="D694" s="24" t="s">
        <v>818</v>
      </c>
      <c r="E694" s="24" t="s">
        <v>9</v>
      </c>
      <c r="F694" s="24"/>
      <c r="G694" s="227">
        <f>G695</f>
        <v>0</v>
      </c>
    </row>
    <row r="695" spans="1:7" x14ac:dyDescent="0.2">
      <c r="A695" s="84" t="s">
        <v>394</v>
      </c>
      <c r="B695" s="30" t="s">
        <v>706</v>
      </c>
      <c r="C695" s="30" t="s">
        <v>824</v>
      </c>
      <c r="D695" s="30" t="s">
        <v>818</v>
      </c>
      <c r="E695" s="30" t="s">
        <v>9</v>
      </c>
      <c r="F695" s="30" t="s">
        <v>733</v>
      </c>
      <c r="G695" s="228">
        <f>G696</f>
        <v>0</v>
      </c>
    </row>
    <row r="696" spans="1:7" x14ac:dyDescent="0.2">
      <c r="A696" s="84" t="s">
        <v>734</v>
      </c>
      <c r="B696" s="30" t="s">
        <v>706</v>
      </c>
      <c r="C696" s="30" t="s">
        <v>824</v>
      </c>
      <c r="D696" s="30" t="s">
        <v>818</v>
      </c>
      <c r="E696" s="30" t="s">
        <v>9</v>
      </c>
      <c r="F696" s="30" t="s">
        <v>735</v>
      </c>
      <c r="G696" s="228">
        <f>2000-800-1200</f>
        <v>0</v>
      </c>
    </row>
    <row r="697" spans="1:7" x14ac:dyDescent="0.2">
      <c r="A697" s="75" t="s">
        <v>286</v>
      </c>
      <c r="B697" s="24" t="s">
        <v>706</v>
      </c>
      <c r="C697" s="24" t="s">
        <v>824</v>
      </c>
      <c r="D697" s="24" t="s">
        <v>818</v>
      </c>
      <c r="E697" s="106" t="s">
        <v>846</v>
      </c>
      <c r="F697" s="24"/>
      <c r="G697" s="117">
        <f>G698</f>
        <v>1300</v>
      </c>
    </row>
    <row r="698" spans="1:7" x14ac:dyDescent="0.2">
      <c r="A698" s="84" t="s">
        <v>473</v>
      </c>
      <c r="B698" s="30" t="s">
        <v>706</v>
      </c>
      <c r="C698" s="30" t="s">
        <v>824</v>
      </c>
      <c r="D698" s="30" t="s">
        <v>818</v>
      </c>
      <c r="E698" s="30" t="s">
        <v>846</v>
      </c>
      <c r="F698" s="30" t="s">
        <v>226</v>
      </c>
      <c r="G698" s="118">
        <f>G699</f>
        <v>1300</v>
      </c>
    </row>
    <row r="699" spans="1:7" ht="15" customHeight="1" x14ac:dyDescent="0.2">
      <c r="A699" s="84" t="s">
        <v>227</v>
      </c>
      <c r="B699" s="30" t="s">
        <v>706</v>
      </c>
      <c r="C699" s="30" t="s">
        <v>824</v>
      </c>
      <c r="D699" s="30" t="s">
        <v>818</v>
      </c>
      <c r="E699" s="30" t="s">
        <v>846</v>
      </c>
      <c r="F699" s="30" t="s">
        <v>228</v>
      </c>
      <c r="G699" s="118">
        <f>200+300+800</f>
        <v>1300</v>
      </c>
    </row>
    <row r="700" spans="1:7" x14ac:dyDescent="0.2">
      <c r="A700" s="80" t="s">
        <v>396</v>
      </c>
      <c r="B700" s="24" t="s">
        <v>706</v>
      </c>
      <c r="C700" s="24" t="s">
        <v>824</v>
      </c>
      <c r="D700" s="24" t="s">
        <v>818</v>
      </c>
      <c r="E700" s="24" t="s">
        <v>847</v>
      </c>
      <c r="F700" s="24"/>
      <c r="G700" s="42">
        <f>G701+G703</f>
        <v>4077.9</v>
      </c>
    </row>
    <row r="701" spans="1:7" x14ac:dyDescent="0.2">
      <c r="A701" s="84" t="s">
        <v>473</v>
      </c>
      <c r="B701" s="30" t="s">
        <v>706</v>
      </c>
      <c r="C701" s="30" t="s">
        <v>824</v>
      </c>
      <c r="D701" s="30" t="s">
        <v>818</v>
      </c>
      <c r="E701" s="30" t="s">
        <v>847</v>
      </c>
      <c r="F701" s="30" t="s">
        <v>226</v>
      </c>
      <c r="G701" s="41">
        <f>G702</f>
        <v>577.90000000000009</v>
      </c>
    </row>
    <row r="702" spans="1:7" ht="15" customHeight="1" x14ac:dyDescent="0.2">
      <c r="A702" s="84" t="s">
        <v>227</v>
      </c>
      <c r="B702" s="30" t="s">
        <v>706</v>
      </c>
      <c r="C702" s="30" t="s">
        <v>824</v>
      </c>
      <c r="D702" s="30" t="s">
        <v>818</v>
      </c>
      <c r="E702" s="30" t="s">
        <v>847</v>
      </c>
      <c r="F702" s="30" t="s">
        <v>228</v>
      </c>
      <c r="G702" s="41">
        <f>4077.9-3500</f>
        <v>577.90000000000009</v>
      </c>
    </row>
    <row r="703" spans="1:7" x14ac:dyDescent="0.2">
      <c r="A703" s="84" t="s">
        <v>394</v>
      </c>
      <c r="B703" s="30" t="s">
        <v>706</v>
      </c>
      <c r="C703" s="30" t="s">
        <v>824</v>
      </c>
      <c r="D703" s="30" t="s">
        <v>818</v>
      </c>
      <c r="E703" s="30" t="s">
        <v>847</v>
      </c>
      <c r="F703" s="30" t="s">
        <v>733</v>
      </c>
      <c r="G703" s="41">
        <f>G704</f>
        <v>3500</v>
      </c>
    </row>
    <row r="704" spans="1:7" x14ac:dyDescent="0.2">
      <c r="A704" s="84" t="s">
        <v>734</v>
      </c>
      <c r="B704" s="30" t="s">
        <v>706</v>
      </c>
      <c r="C704" s="30" t="s">
        <v>824</v>
      </c>
      <c r="D704" s="30" t="s">
        <v>818</v>
      </c>
      <c r="E704" s="30" t="s">
        <v>847</v>
      </c>
      <c r="F704" s="30" t="s">
        <v>735</v>
      </c>
      <c r="G704" s="41">
        <v>3500</v>
      </c>
    </row>
    <row r="705" spans="1:7" x14ac:dyDescent="0.2">
      <c r="A705" s="80" t="s">
        <v>689</v>
      </c>
      <c r="B705" s="24" t="s">
        <v>706</v>
      </c>
      <c r="C705" s="24" t="s">
        <v>822</v>
      </c>
      <c r="D705" s="24" t="s">
        <v>215</v>
      </c>
      <c r="E705" s="24"/>
      <c r="F705" s="24"/>
      <c r="G705" s="42">
        <f>G706</f>
        <v>1600</v>
      </c>
    </row>
    <row r="706" spans="1:7" x14ac:dyDescent="0.2">
      <c r="A706" s="80" t="s">
        <v>799</v>
      </c>
      <c r="B706" s="24" t="s">
        <v>706</v>
      </c>
      <c r="C706" s="24" t="s">
        <v>822</v>
      </c>
      <c r="D706" s="24" t="s">
        <v>216</v>
      </c>
      <c r="E706" s="24"/>
      <c r="F706" s="24"/>
      <c r="G706" s="42">
        <f>G707</f>
        <v>1600</v>
      </c>
    </row>
    <row r="707" spans="1:7" ht="27" x14ac:dyDescent="0.2">
      <c r="A707" s="86" t="s">
        <v>549</v>
      </c>
      <c r="B707" s="53" t="s">
        <v>706</v>
      </c>
      <c r="C707" s="53" t="s">
        <v>822</v>
      </c>
      <c r="D707" s="53" t="s">
        <v>216</v>
      </c>
      <c r="E707" s="53" t="s">
        <v>444</v>
      </c>
      <c r="F707" s="53"/>
      <c r="G707" s="57">
        <f>G708+G713</f>
        <v>1600</v>
      </c>
    </row>
    <row r="708" spans="1:7" x14ac:dyDescent="0.2">
      <c r="A708" s="75" t="s">
        <v>286</v>
      </c>
      <c r="B708" s="24" t="s">
        <v>706</v>
      </c>
      <c r="C708" s="24" t="s">
        <v>822</v>
      </c>
      <c r="D708" s="24" t="s">
        <v>216</v>
      </c>
      <c r="E708" s="24" t="s">
        <v>846</v>
      </c>
      <c r="F708" s="24"/>
      <c r="G708" s="42">
        <f>G709+G711</f>
        <v>600</v>
      </c>
    </row>
    <row r="709" spans="1:7" x14ac:dyDescent="0.2">
      <c r="A709" s="84" t="s">
        <v>473</v>
      </c>
      <c r="B709" s="30" t="s">
        <v>706</v>
      </c>
      <c r="C709" s="30" t="s">
        <v>822</v>
      </c>
      <c r="D709" s="30" t="s">
        <v>216</v>
      </c>
      <c r="E709" s="30" t="s">
        <v>846</v>
      </c>
      <c r="F709" s="30" t="s">
        <v>226</v>
      </c>
      <c r="G709" s="41">
        <f>G710</f>
        <v>600</v>
      </c>
    </row>
    <row r="710" spans="1:7" ht="15" customHeight="1" x14ac:dyDescent="0.2">
      <c r="A710" s="84" t="s">
        <v>227</v>
      </c>
      <c r="B710" s="30" t="s">
        <v>706</v>
      </c>
      <c r="C710" s="30" t="s">
        <v>822</v>
      </c>
      <c r="D710" s="30" t="s">
        <v>216</v>
      </c>
      <c r="E710" s="30" t="s">
        <v>846</v>
      </c>
      <c r="F710" s="30" t="s">
        <v>228</v>
      </c>
      <c r="G710" s="41">
        <v>600</v>
      </c>
    </row>
    <row r="711" spans="1:7" x14ac:dyDescent="0.2">
      <c r="A711" s="84" t="s">
        <v>394</v>
      </c>
      <c r="B711" s="30" t="s">
        <v>706</v>
      </c>
      <c r="C711" s="30" t="s">
        <v>822</v>
      </c>
      <c r="D711" s="30" t="s">
        <v>216</v>
      </c>
      <c r="E711" s="30" t="s">
        <v>846</v>
      </c>
      <c r="F711" s="30" t="s">
        <v>733</v>
      </c>
      <c r="G711" s="118">
        <f>G712</f>
        <v>0</v>
      </c>
    </row>
    <row r="712" spans="1:7" x14ac:dyDescent="0.2">
      <c r="A712" s="84" t="s">
        <v>734</v>
      </c>
      <c r="B712" s="30" t="s">
        <v>706</v>
      </c>
      <c r="C712" s="30" t="s">
        <v>822</v>
      </c>
      <c r="D712" s="30" t="s">
        <v>216</v>
      </c>
      <c r="E712" s="30" t="s">
        <v>846</v>
      </c>
      <c r="F712" s="30" t="s">
        <v>735</v>
      </c>
      <c r="G712" s="118">
        <f>500-500</f>
        <v>0</v>
      </c>
    </row>
    <row r="713" spans="1:7" x14ac:dyDescent="0.2">
      <c r="A713" s="80" t="s">
        <v>486</v>
      </c>
      <c r="B713" s="24" t="s">
        <v>706</v>
      </c>
      <c r="C713" s="24" t="s">
        <v>822</v>
      </c>
      <c r="D713" s="24" t="s">
        <v>216</v>
      </c>
      <c r="E713" s="24" t="s">
        <v>485</v>
      </c>
      <c r="F713" s="24"/>
      <c r="G713" s="42">
        <f>G714</f>
        <v>1000</v>
      </c>
    </row>
    <row r="714" spans="1:7" x14ac:dyDescent="0.2">
      <c r="A714" s="84" t="s">
        <v>394</v>
      </c>
      <c r="B714" s="30" t="s">
        <v>706</v>
      </c>
      <c r="C714" s="30" t="s">
        <v>822</v>
      </c>
      <c r="D714" s="30" t="s">
        <v>216</v>
      </c>
      <c r="E714" s="30" t="s">
        <v>485</v>
      </c>
      <c r="F714" s="30" t="s">
        <v>733</v>
      </c>
      <c r="G714" s="41">
        <f>G715</f>
        <v>1000</v>
      </c>
    </row>
    <row r="715" spans="1:7" x14ac:dyDescent="0.2">
      <c r="A715" s="84" t="s">
        <v>734</v>
      </c>
      <c r="B715" s="30" t="s">
        <v>706</v>
      </c>
      <c r="C715" s="30" t="s">
        <v>822</v>
      </c>
      <c r="D715" s="30" t="s">
        <v>216</v>
      </c>
      <c r="E715" s="30" t="s">
        <v>485</v>
      </c>
      <c r="F715" s="30" t="s">
        <v>735</v>
      </c>
      <c r="G715" s="41">
        <f>500+500</f>
        <v>1000</v>
      </c>
    </row>
    <row r="716" spans="1:7" s="51" customFormat="1" x14ac:dyDescent="0.2">
      <c r="A716" s="80" t="s">
        <v>691</v>
      </c>
      <c r="B716" s="24" t="s">
        <v>706</v>
      </c>
      <c r="C716" s="24" t="s">
        <v>232</v>
      </c>
      <c r="D716" s="24" t="s">
        <v>215</v>
      </c>
      <c r="E716" s="24"/>
      <c r="F716" s="44"/>
      <c r="G716" s="42">
        <f>G717</f>
        <v>2508.45856</v>
      </c>
    </row>
    <row r="717" spans="1:7" s="48" customFormat="1" x14ac:dyDescent="0.2">
      <c r="A717" s="80" t="s">
        <v>313</v>
      </c>
      <c r="B717" s="37">
        <v>606</v>
      </c>
      <c r="C717" s="44" t="s">
        <v>232</v>
      </c>
      <c r="D717" s="44" t="s">
        <v>825</v>
      </c>
      <c r="E717" s="30"/>
      <c r="F717" s="44"/>
      <c r="G717" s="42">
        <f>G718</f>
        <v>2508.45856</v>
      </c>
    </row>
    <row r="718" spans="1:7" s="48" customFormat="1" ht="27" x14ac:dyDescent="0.2">
      <c r="A718" s="86" t="s">
        <v>549</v>
      </c>
      <c r="B718" s="53" t="s">
        <v>706</v>
      </c>
      <c r="C718" s="53" t="s">
        <v>232</v>
      </c>
      <c r="D718" s="53" t="s">
        <v>825</v>
      </c>
      <c r="E718" s="53" t="s">
        <v>444</v>
      </c>
      <c r="F718" s="53"/>
      <c r="G718" s="57">
        <f>G719+G722</f>
        <v>2508.45856</v>
      </c>
    </row>
    <row r="719" spans="1:7" s="48" customFormat="1" x14ac:dyDescent="0.2">
      <c r="A719" s="80" t="s">
        <v>11</v>
      </c>
      <c r="B719" s="24" t="s">
        <v>706</v>
      </c>
      <c r="C719" s="24" t="s">
        <v>232</v>
      </c>
      <c r="D719" s="24" t="s">
        <v>825</v>
      </c>
      <c r="E719" s="24" t="s">
        <v>12</v>
      </c>
      <c r="F719" s="24"/>
      <c r="G719" s="42">
        <f>G720</f>
        <v>2500</v>
      </c>
    </row>
    <row r="720" spans="1:7" s="48" customFormat="1" x14ac:dyDescent="0.2">
      <c r="A720" s="84" t="s">
        <v>473</v>
      </c>
      <c r="B720" s="31">
        <v>606</v>
      </c>
      <c r="C720" s="52" t="s">
        <v>232</v>
      </c>
      <c r="D720" s="52" t="s">
        <v>825</v>
      </c>
      <c r="E720" s="30" t="s">
        <v>12</v>
      </c>
      <c r="F720" s="30" t="s">
        <v>226</v>
      </c>
      <c r="G720" s="41">
        <f>G721</f>
        <v>2500</v>
      </c>
    </row>
    <row r="721" spans="1:7" s="48" customFormat="1" ht="15" customHeight="1" x14ac:dyDescent="0.2">
      <c r="A721" s="84" t="s">
        <v>227</v>
      </c>
      <c r="B721" s="30" t="s">
        <v>706</v>
      </c>
      <c r="C721" s="30" t="s">
        <v>232</v>
      </c>
      <c r="D721" s="30" t="s">
        <v>825</v>
      </c>
      <c r="E721" s="30" t="s">
        <v>12</v>
      </c>
      <c r="F721" s="30" t="s">
        <v>228</v>
      </c>
      <c r="G721" s="41">
        <v>2500</v>
      </c>
    </row>
    <row r="722" spans="1:7" s="48" customFormat="1" x14ac:dyDescent="0.2">
      <c r="A722" s="80" t="s">
        <v>396</v>
      </c>
      <c r="B722" s="24" t="s">
        <v>706</v>
      </c>
      <c r="C722" s="24" t="s">
        <v>232</v>
      </c>
      <c r="D722" s="24" t="s">
        <v>825</v>
      </c>
      <c r="E722" s="24" t="s">
        <v>847</v>
      </c>
      <c r="F722" s="24"/>
      <c r="G722" s="42">
        <f>G723</f>
        <v>8.4585600000000003</v>
      </c>
    </row>
    <row r="723" spans="1:7" s="48" customFormat="1" x14ac:dyDescent="0.2">
      <c r="A723" s="84" t="s">
        <v>473</v>
      </c>
      <c r="B723" s="30" t="s">
        <v>706</v>
      </c>
      <c r="C723" s="30" t="s">
        <v>232</v>
      </c>
      <c r="D723" s="30" t="s">
        <v>825</v>
      </c>
      <c r="E723" s="30" t="s">
        <v>847</v>
      </c>
      <c r="F723" s="30" t="s">
        <v>226</v>
      </c>
      <c r="G723" s="41">
        <f>G724</f>
        <v>8.4585600000000003</v>
      </c>
    </row>
    <row r="724" spans="1:7" s="48" customFormat="1" ht="15" customHeight="1" x14ac:dyDescent="0.2">
      <c r="A724" s="84" t="s">
        <v>227</v>
      </c>
      <c r="B724" s="30" t="s">
        <v>706</v>
      </c>
      <c r="C724" s="30" t="s">
        <v>232</v>
      </c>
      <c r="D724" s="30" t="s">
        <v>825</v>
      </c>
      <c r="E724" s="30" t="s">
        <v>847</v>
      </c>
      <c r="F724" s="30" t="s">
        <v>228</v>
      </c>
      <c r="G724" s="41">
        <v>8.4585600000000003</v>
      </c>
    </row>
    <row r="725" spans="1:7" s="48" customFormat="1" ht="31.5" x14ac:dyDescent="0.2">
      <c r="A725" s="79" t="s">
        <v>721</v>
      </c>
      <c r="B725" s="46" t="s">
        <v>722</v>
      </c>
      <c r="C725" s="47"/>
      <c r="D725" s="47"/>
      <c r="E725" s="25"/>
      <c r="F725" s="46"/>
      <c r="G725" s="102">
        <f>G726+G733+G740</f>
        <v>285362.2464</v>
      </c>
    </row>
    <row r="726" spans="1:7" s="48" customFormat="1" x14ac:dyDescent="0.2">
      <c r="A726" s="80" t="s">
        <v>256</v>
      </c>
      <c r="B726" s="24" t="s">
        <v>722</v>
      </c>
      <c r="C726" s="24" t="s">
        <v>214</v>
      </c>
      <c r="D726" s="24" t="s">
        <v>215</v>
      </c>
      <c r="E726" s="24"/>
      <c r="F726" s="24"/>
      <c r="G726" s="42">
        <f>G727</f>
        <v>1000</v>
      </c>
    </row>
    <row r="727" spans="1:7" s="48" customFormat="1" x14ac:dyDescent="0.2">
      <c r="A727" s="80" t="s">
        <v>509</v>
      </c>
      <c r="B727" s="24" t="s">
        <v>722</v>
      </c>
      <c r="C727" s="24" t="s">
        <v>214</v>
      </c>
      <c r="D727" s="24" t="s">
        <v>235</v>
      </c>
      <c r="E727" s="24"/>
      <c r="F727" s="24"/>
      <c r="G727" s="42">
        <f>G728</f>
        <v>1000</v>
      </c>
    </row>
    <row r="728" spans="1:7" s="48" customFormat="1" x14ac:dyDescent="0.2">
      <c r="A728" s="80" t="s">
        <v>476</v>
      </c>
      <c r="B728" s="24" t="s">
        <v>722</v>
      </c>
      <c r="C728" s="24" t="s">
        <v>214</v>
      </c>
      <c r="D728" s="24" t="s">
        <v>235</v>
      </c>
      <c r="E728" s="43" t="s">
        <v>383</v>
      </c>
      <c r="F728" s="24"/>
      <c r="G728" s="42">
        <f>G729</f>
        <v>1000</v>
      </c>
    </row>
    <row r="729" spans="1:7" s="48" customFormat="1" x14ac:dyDescent="0.2">
      <c r="A729" s="83" t="s">
        <v>510</v>
      </c>
      <c r="B729" s="25" t="s">
        <v>722</v>
      </c>
      <c r="C729" s="25" t="s">
        <v>214</v>
      </c>
      <c r="D729" s="25" t="s">
        <v>235</v>
      </c>
      <c r="E729" s="54" t="s">
        <v>147</v>
      </c>
      <c r="F729" s="25"/>
      <c r="G729" s="45">
        <f>G730</f>
        <v>1000</v>
      </c>
    </row>
    <row r="730" spans="1:7" s="48" customFormat="1" x14ac:dyDescent="0.2">
      <c r="A730" s="84" t="s">
        <v>229</v>
      </c>
      <c r="B730" s="30" t="s">
        <v>722</v>
      </c>
      <c r="C730" s="30" t="s">
        <v>214</v>
      </c>
      <c r="D730" s="30" t="s">
        <v>235</v>
      </c>
      <c r="E730" s="40" t="s">
        <v>147</v>
      </c>
      <c r="F730" s="30" t="s">
        <v>230</v>
      </c>
      <c r="G730" s="41">
        <f>G731+G732</f>
        <v>1000</v>
      </c>
    </row>
    <row r="731" spans="1:7" s="48" customFormat="1" x14ac:dyDescent="0.2">
      <c r="A731" s="84" t="s">
        <v>306</v>
      </c>
      <c r="B731" s="30" t="s">
        <v>722</v>
      </c>
      <c r="C731" s="30" t="s">
        <v>214</v>
      </c>
      <c r="D731" s="30" t="s">
        <v>235</v>
      </c>
      <c r="E731" s="40" t="s">
        <v>147</v>
      </c>
      <c r="F731" s="30" t="s">
        <v>310</v>
      </c>
      <c r="G731" s="41">
        <v>980</v>
      </c>
    </row>
    <row r="732" spans="1:7" s="48" customFormat="1" x14ac:dyDescent="0.2">
      <c r="A732" s="84" t="s">
        <v>106</v>
      </c>
      <c r="B732" s="30" t="s">
        <v>722</v>
      </c>
      <c r="C732" s="30" t="s">
        <v>214</v>
      </c>
      <c r="D732" s="30" t="s">
        <v>235</v>
      </c>
      <c r="E732" s="40" t="s">
        <v>147</v>
      </c>
      <c r="F732" s="30" t="s">
        <v>231</v>
      </c>
      <c r="G732" s="41">
        <v>20</v>
      </c>
    </row>
    <row r="733" spans="1:7" s="48" customFormat="1" x14ac:dyDescent="0.2">
      <c r="A733" s="80" t="s">
        <v>655</v>
      </c>
      <c r="B733" s="24" t="s">
        <v>722</v>
      </c>
      <c r="C733" s="24" t="s">
        <v>216</v>
      </c>
      <c r="D733" s="24" t="s">
        <v>215</v>
      </c>
      <c r="E733" s="25"/>
      <c r="F733" s="25"/>
      <c r="G733" s="42">
        <f t="shared" ref="G733:G738" si="6">G734</f>
        <v>3500</v>
      </c>
    </row>
    <row r="734" spans="1:7" s="48" customFormat="1" x14ac:dyDescent="0.2">
      <c r="A734" s="80" t="s">
        <v>698</v>
      </c>
      <c r="B734" s="24" t="s">
        <v>722</v>
      </c>
      <c r="C734" s="24" t="s">
        <v>216</v>
      </c>
      <c r="D734" s="24" t="s">
        <v>823</v>
      </c>
      <c r="E734" s="25"/>
      <c r="F734" s="25"/>
      <c r="G734" s="42">
        <f t="shared" si="6"/>
        <v>3500</v>
      </c>
    </row>
    <row r="735" spans="1:7" s="48" customFormat="1" ht="27" x14ac:dyDescent="0.2">
      <c r="A735" s="86" t="s">
        <v>65</v>
      </c>
      <c r="B735" s="53" t="s">
        <v>722</v>
      </c>
      <c r="C735" s="53" t="s">
        <v>216</v>
      </c>
      <c r="D735" s="53" t="s">
        <v>823</v>
      </c>
      <c r="E735" s="53" t="s">
        <v>410</v>
      </c>
      <c r="F735" s="53"/>
      <c r="G735" s="57">
        <f t="shared" si="6"/>
        <v>3500</v>
      </c>
    </row>
    <row r="736" spans="1:7" s="48" customFormat="1" x14ac:dyDescent="0.2">
      <c r="A736" s="80" t="s">
        <v>412</v>
      </c>
      <c r="B736" s="24" t="s">
        <v>722</v>
      </c>
      <c r="C736" s="24" t="s">
        <v>216</v>
      </c>
      <c r="D736" s="24" t="s">
        <v>823</v>
      </c>
      <c r="E736" s="24" t="s">
        <v>411</v>
      </c>
      <c r="F736" s="30"/>
      <c r="G736" s="42">
        <f t="shared" si="6"/>
        <v>3500</v>
      </c>
    </row>
    <row r="737" spans="1:7" s="48" customFormat="1" x14ac:dyDescent="0.2">
      <c r="A737" s="125" t="s">
        <v>718</v>
      </c>
      <c r="B737" s="25" t="s">
        <v>722</v>
      </c>
      <c r="C737" s="25" t="s">
        <v>216</v>
      </c>
      <c r="D737" s="25" t="s">
        <v>823</v>
      </c>
      <c r="E737" s="124" t="s">
        <v>66</v>
      </c>
      <c r="F737" s="25"/>
      <c r="G737" s="45">
        <f t="shared" si="6"/>
        <v>3500</v>
      </c>
    </row>
    <row r="738" spans="1:7" s="48" customFormat="1" x14ac:dyDescent="0.2">
      <c r="A738" s="84" t="s">
        <v>473</v>
      </c>
      <c r="B738" s="30" t="s">
        <v>722</v>
      </c>
      <c r="C738" s="30" t="s">
        <v>216</v>
      </c>
      <c r="D738" s="30" t="s">
        <v>823</v>
      </c>
      <c r="E738" s="30" t="s">
        <v>66</v>
      </c>
      <c r="F738" s="30" t="s">
        <v>226</v>
      </c>
      <c r="G738" s="41">
        <f t="shared" si="6"/>
        <v>3500</v>
      </c>
    </row>
    <row r="739" spans="1:7" s="48" customFormat="1" ht="15" customHeight="1" x14ac:dyDescent="0.2">
      <c r="A739" s="84" t="s">
        <v>227</v>
      </c>
      <c r="B739" s="30" t="s">
        <v>722</v>
      </c>
      <c r="C739" s="30" t="s">
        <v>216</v>
      </c>
      <c r="D739" s="30" t="s">
        <v>823</v>
      </c>
      <c r="E739" s="30" t="s">
        <v>66</v>
      </c>
      <c r="F739" s="30" t="s">
        <v>228</v>
      </c>
      <c r="G739" s="41">
        <f>2000+1500</f>
        <v>3500</v>
      </c>
    </row>
    <row r="740" spans="1:7" s="49" customFormat="1" x14ac:dyDescent="0.2">
      <c r="A740" s="80" t="s">
        <v>667</v>
      </c>
      <c r="B740" s="24" t="s">
        <v>722</v>
      </c>
      <c r="C740" s="24" t="s">
        <v>731</v>
      </c>
      <c r="D740" s="24" t="s">
        <v>215</v>
      </c>
      <c r="E740" s="24"/>
      <c r="F740" s="24"/>
      <c r="G740" s="42">
        <f>G741+G761+G783+G797</f>
        <v>280862.2464</v>
      </c>
    </row>
    <row r="741" spans="1:7" s="48" customFormat="1" x14ac:dyDescent="0.2">
      <c r="A741" s="80" t="s">
        <v>668</v>
      </c>
      <c r="B741" s="24" t="s">
        <v>722</v>
      </c>
      <c r="C741" s="24" t="s">
        <v>731</v>
      </c>
      <c r="D741" s="24" t="s">
        <v>214</v>
      </c>
      <c r="E741" s="25"/>
      <c r="F741" s="25"/>
      <c r="G741" s="42">
        <f>G742</f>
        <v>59205</v>
      </c>
    </row>
    <row r="742" spans="1:7" s="49" customFormat="1" ht="27" x14ac:dyDescent="0.2">
      <c r="A742" s="86" t="s">
        <v>65</v>
      </c>
      <c r="B742" s="53" t="s">
        <v>722</v>
      </c>
      <c r="C742" s="53" t="s">
        <v>731</v>
      </c>
      <c r="D742" s="53" t="s">
        <v>214</v>
      </c>
      <c r="E742" s="53" t="s">
        <v>410</v>
      </c>
      <c r="F742" s="25"/>
      <c r="G742" s="57">
        <f>G743+G747+G754</f>
        <v>59205</v>
      </c>
    </row>
    <row r="743" spans="1:7" s="49" customFormat="1" x14ac:dyDescent="0.2">
      <c r="A743" s="80" t="s">
        <v>197</v>
      </c>
      <c r="B743" s="24" t="s">
        <v>722</v>
      </c>
      <c r="C743" s="24" t="s">
        <v>731</v>
      </c>
      <c r="D743" s="24" t="s">
        <v>214</v>
      </c>
      <c r="E743" s="24" t="s">
        <v>413</v>
      </c>
      <c r="F743" s="24"/>
      <c r="G743" s="42">
        <f>G744</f>
        <v>7000</v>
      </c>
    </row>
    <row r="744" spans="1:7" s="49" customFormat="1" x14ac:dyDescent="0.2">
      <c r="A744" s="123" t="s">
        <v>414</v>
      </c>
      <c r="B744" s="25" t="s">
        <v>722</v>
      </c>
      <c r="C744" s="25" t="s">
        <v>731</v>
      </c>
      <c r="D744" s="25" t="s">
        <v>214</v>
      </c>
      <c r="E744" s="124" t="s">
        <v>67</v>
      </c>
      <c r="F744" s="25"/>
      <c r="G744" s="45">
        <f>G745</f>
        <v>7000</v>
      </c>
    </row>
    <row r="745" spans="1:7" s="49" customFormat="1" x14ac:dyDescent="0.2">
      <c r="A745" s="84" t="s">
        <v>473</v>
      </c>
      <c r="B745" s="30" t="s">
        <v>722</v>
      </c>
      <c r="C745" s="30" t="s">
        <v>731</v>
      </c>
      <c r="D745" s="30" t="s">
        <v>214</v>
      </c>
      <c r="E745" s="30" t="s">
        <v>67</v>
      </c>
      <c r="F745" s="30" t="s">
        <v>226</v>
      </c>
      <c r="G745" s="41">
        <f>G746</f>
        <v>7000</v>
      </c>
    </row>
    <row r="746" spans="1:7" s="49" customFormat="1" ht="15" customHeight="1" x14ac:dyDescent="0.2">
      <c r="A746" s="84" t="s">
        <v>227</v>
      </c>
      <c r="B746" s="30" t="s">
        <v>722</v>
      </c>
      <c r="C746" s="30" t="s">
        <v>731</v>
      </c>
      <c r="D746" s="30" t="s">
        <v>214</v>
      </c>
      <c r="E746" s="30" t="s">
        <v>67</v>
      </c>
      <c r="F746" s="30" t="s">
        <v>228</v>
      </c>
      <c r="G746" s="41">
        <v>7000</v>
      </c>
    </row>
    <row r="747" spans="1:7" s="49" customFormat="1" ht="15" customHeight="1" x14ac:dyDescent="0.2">
      <c r="A747" s="80" t="s">
        <v>307</v>
      </c>
      <c r="B747" s="24" t="s">
        <v>758</v>
      </c>
      <c r="C747" s="24" t="s">
        <v>731</v>
      </c>
      <c r="D747" s="24" t="s">
        <v>214</v>
      </c>
      <c r="E747" s="24" t="s">
        <v>276</v>
      </c>
      <c r="F747" s="30"/>
      <c r="G747" s="42">
        <f>G748+G751</f>
        <v>44005</v>
      </c>
    </row>
    <row r="748" spans="1:7" s="49" customFormat="1" ht="24" x14ac:dyDescent="0.2">
      <c r="A748" s="83" t="s">
        <v>757</v>
      </c>
      <c r="B748" s="25" t="s">
        <v>722</v>
      </c>
      <c r="C748" s="25" t="s">
        <v>731</v>
      </c>
      <c r="D748" s="25" t="s">
        <v>214</v>
      </c>
      <c r="E748" s="25" t="s">
        <v>73</v>
      </c>
      <c r="F748" s="25"/>
      <c r="G748" s="45">
        <f>G749</f>
        <v>38995</v>
      </c>
    </row>
    <row r="749" spans="1:7" s="49" customFormat="1" ht="24" x14ac:dyDescent="0.2">
      <c r="A749" s="84" t="s">
        <v>246</v>
      </c>
      <c r="B749" s="30" t="s">
        <v>722</v>
      </c>
      <c r="C749" s="30" t="s">
        <v>731</v>
      </c>
      <c r="D749" s="30" t="s">
        <v>214</v>
      </c>
      <c r="E749" s="30" t="s">
        <v>73</v>
      </c>
      <c r="F749" s="30" t="s">
        <v>702</v>
      </c>
      <c r="G749" s="41">
        <f>G750</f>
        <v>38995</v>
      </c>
    </row>
    <row r="750" spans="1:7" s="49" customFormat="1" ht="24" x14ac:dyDescent="0.2">
      <c r="A750" s="84" t="s">
        <v>290</v>
      </c>
      <c r="B750" s="30" t="s">
        <v>722</v>
      </c>
      <c r="C750" s="30" t="s">
        <v>731</v>
      </c>
      <c r="D750" s="30" t="s">
        <v>214</v>
      </c>
      <c r="E750" s="30" t="s">
        <v>73</v>
      </c>
      <c r="F750" s="30" t="s">
        <v>794</v>
      </c>
      <c r="G750" s="41">
        <f>10495+30000-1500</f>
        <v>38995</v>
      </c>
    </row>
    <row r="751" spans="1:7" s="49" customFormat="1" ht="24" x14ac:dyDescent="0.2">
      <c r="A751" s="83" t="s">
        <v>319</v>
      </c>
      <c r="B751" s="25" t="s">
        <v>722</v>
      </c>
      <c r="C751" s="25" t="s">
        <v>731</v>
      </c>
      <c r="D751" s="25" t="s">
        <v>214</v>
      </c>
      <c r="E751" s="25" t="s">
        <v>72</v>
      </c>
      <c r="F751" s="25"/>
      <c r="G751" s="122">
        <f>G752</f>
        <v>5010</v>
      </c>
    </row>
    <row r="752" spans="1:7" s="49" customFormat="1" x14ac:dyDescent="0.2">
      <c r="A752" s="84" t="s">
        <v>473</v>
      </c>
      <c r="B752" s="30" t="s">
        <v>722</v>
      </c>
      <c r="C752" s="30" t="s">
        <v>731</v>
      </c>
      <c r="D752" s="30" t="s">
        <v>214</v>
      </c>
      <c r="E752" s="30" t="s">
        <v>72</v>
      </c>
      <c r="F752" s="30" t="s">
        <v>226</v>
      </c>
      <c r="G752" s="118">
        <f>G753</f>
        <v>5010</v>
      </c>
    </row>
    <row r="753" spans="1:7" s="49" customFormat="1" ht="15" customHeight="1" x14ac:dyDescent="0.2">
      <c r="A753" s="84" t="s">
        <v>227</v>
      </c>
      <c r="B753" s="30" t="s">
        <v>722</v>
      </c>
      <c r="C753" s="30" t="s">
        <v>731</v>
      </c>
      <c r="D753" s="30" t="s">
        <v>214</v>
      </c>
      <c r="E753" s="30" t="s">
        <v>72</v>
      </c>
      <c r="F753" s="30" t="s">
        <v>228</v>
      </c>
      <c r="G753" s="118">
        <f>2510+2500</f>
        <v>5010</v>
      </c>
    </row>
    <row r="754" spans="1:7" s="49" customFormat="1" x14ac:dyDescent="0.2">
      <c r="A754" s="80" t="s">
        <v>68</v>
      </c>
      <c r="B754" s="24" t="s">
        <v>758</v>
      </c>
      <c r="C754" s="24" t="s">
        <v>731</v>
      </c>
      <c r="D754" s="24" t="s">
        <v>214</v>
      </c>
      <c r="E754" s="24" t="s">
        <v>69</v>
      </c>
      <c r="F754" s="30"/>
      <c r="G754" s="42">
        <f>G755+G758</f>
        <v>8200</v>
      </c>
    </row>
    <row r="755" spans="1:7" s="49" customFormat="1" ht="36" x14ac:dyDescent="0.2">
      <c r="A755" s="127" t="s">
        <v>852</v>
      </c>
      <c r="B755" s="25" t="s">
        <v>758</v>
      </c>
      <c r="C755" s="25" t="s">
        <v>731</v>
      </c>
      <c r="D755" s="25" t="s">
        <v>214</v>
      </c>
      <c r="E755" s="25" t="s">
        <v>70</v>
      </c>
      <c r="F755" s="25"/>
      <c r="G755" s="45">
        <f>G756</f>
        <v>700</v>
      </c>
    </row>
    <row r="756" spans="1:7" s="49" customFormat="1" x14ac:dyDescent="0.2">
      <c r="A756" s="84" t="s">
        <v>473</v>
      </c>
      <c r="B756" s="30" t="s">
        <v>722</v>
      </c>
      <c r="C756" s="30" t="s">
        <v>731</v>
      </c>
      <c r="D756" s="30" t="s">
        <v>214</v>
      </c>
      <c r="E756" s="30" t="s">
        <v>70</v>
      </c>
      <c r="F756" s="30" t="s">
        <v>226</v>
      </c>
      <c r="G756" s="41">
        <f>G757</f>
        <v>700</v>
      </c>
    </row>
    <row r="757" spans="1:7" s="49" customFormat="1" ht="15" customHeight="1" x14ac:dyDescent="0.2">
      <c r="A757" s="84" t="s">
        <v>227</v>
      </c>
      <c r="B757" s="30" t="s">
        <v>722</v>
      </c>
      <c r="C757" s="30" t="s">
        <v>731</v>
      </c>
      <c r="D757" s="30" t="s">
        <v>214</v>
      </c>
      <c r="E757" s="30" t="s">
        <v>70</v>
      </c>
      <c r="F757" s="30" t="s">
        <v>228</v>
      </c>
      <c r="G757" s="41">
        <f>200+500</f>
        <v>700</v>
      </c>
    </row>
    <row r="758" spans="1:7" s="49" customFormat="1" x14ac:dyDescent="0.2">
      <c r="A758" s="123" t="s">
        <v>415</v>
      </c>
      <c r="B758" s="25" t="s">
        <v>758</v>
      </c>
      <c r="C758" s="25" t="s">
        <v>731</v>
      </c>
      <c r="D758" s="25" t="s">
        <v>214</v>
      </c>
      <c r="E758" s="124" t="s">
        <v>71</v>
      </c>
      <c r="F758" s="25"/>
      <c r="G758" s="45">
        <f>G759</f>
        <v>7500</v>
      </c>
    </row>
    <row r="759" spans="1:7" s="49" customFormat="1" x14ac:dyDescent="0.2">
      <c r="A759" s="84" t="s">
        <v>473</v>
      </c>
      <c r="B759" s="30" t="s">
        <v>722</v>
      </c>
      <c r="C759" s="30" t="s">
        <v>731</v>
      </c>
      <c r="D759" s="30" t="s">
        <v>214</v>
      </c>
      <c r="E759" s="30" t="s">
        <v>71</v>
      </c>
      <c r="F759" s="30" t="s">
        <v>226</v>
      </c>
      <c r="G759" s="41">
        <f>G760</f>
        <v>7500</v>
      </c>
    </row>
    <row r="760" spans="1:7" s="49" customFormat="1" ht="15" customHeight="1" x14ac:dyDescent="0.2">
      <c r="A760" s="84" t="s">
        <v>227</v>
      </c>
      <c r="B760" s="30" t="s">
        <v>722</v>
      </c>
      <c r="C760" s="30" t="s">
        <v>731</v>
      </c>
      <c r="D760" s="30" t="s">
        <v>214</v>
      </c>
      <c r="E760" s="30" t="s">
        <v>71</v>
      </c>
      <c r="F760" s="30" t="s">
        <v>228</v>
      </c>
      <c r="G760" s="41">
        <f>1000+6500</f>
        <v>7500</v>
      </c>
    </row>
    <row r="761" spans="1:7" x14ac:dyDescent="0.2">
      <c r="A761" s="80" t="s">
        <v>669</v>
      </c>
      <c r="B761" s="24" t="s">
        <v>722</v>
      </c>
      <c r="C761" s="24" t="s">
        <v>731</v>
      </c>
      <c r="D761" s="24" t="s">
        <v>825</v>
      </c>
      <c r="E761" s="24"/>
      <c r="F761" s="24"/>
      <c r="G761" s="42">
        <f>G762</f>
        <v>63200</v>
      </c>
    </row>
    <row r="762" spans="1:7" x14ac:dyDescent="0.2">
      <c r="A762" s="83" t="s">
        <v>670</v>
      </c>
      <c r="B762" s="25" t="s">
        <v>722</v>
      </c>
      <c r="C762" s="25" t="s">
        <v>731</v>
      </c>
      <c r="D762" s="25" t="s">
        <v>825</v>
      </c>
      <c r="E762" s="25"/>
      <c r="F762" s="25"/>
      <c r="G762" s="45">
        <f>G763</f>
        <v>63200</v>
      </c>
    </row>
    <row r="763" spans="1:7" s="49" customFormat="1" ht="27" x14ac:dyDescent="0.2">
      <c r="A763" s="86" t="s">
        <v>65</v>
      </c>
      <c r="B763" s="53" t="s">
        <v>722</v>
      </c>
      <c r="C763" s="53" t="s">
        <v>731</v>
      </c>
      <c r="D763" s="53" t="s">
        <v>825</v>
      </c>
      <c r="E763" s="53" t="s">
        <v>410</v>
      </c>
      <c r="F763" s="25"/>
      <c r="G763" s="57">
        <f>G764+G774+G780</f>
        <v>63200</v>
      </c>
    </row>
    <row r="764" spans="1:7" s="49" customFormat="1" ht="27" x14ac:dyDescent="0.2">
      <c r="A764" s="86" t="s">
        <v>274</v>
      </c>
      <c r="B764" s="53" t="s">
        <v>722</v>
      </c>
      <c r="C764" s="53" t="s">
        <v>731</v>
      </c>
      <c r="D764" s="53" t="s">
        <v>825</v>
      </c>
      <c r="E764" s="53" t="s">
        <v>416</v>
      </c>
      <c r="F764" s="25"/>
      <c r="G764" s="57">
        <f>G765+G768+G771</f>
        <v>3000</v>
      </c>
    </row>
    <row r="765" spans="1:7" s="49" customFormat="1" x14ac:dyDescent="0.2">
      <c r="A765" s="80" t="s">
        <v>587</v>
      </c>
      <c r="B765" s="24" t="s">
        <v>722</v>
      </c>
      <c r="C765" s="24" t="s">
        <v>731</v>
      </c>
      <c r="D765" s="24" t="s">
        <v>825</v>
      </c>
      <c r="E765" s="24" t="s">
        <v>588</v>
      </c>
      <c r="F765" s="30"/>
      <c r="G765" s="117">
        <f>G766</f>
        <v>1100</v>
      </c>
    </row>
    <row r="766" spans="1:7" s="49" customFormat="1" ht="24" x14ac:dyDescent="0.2">
      <c r="A766" s="84" t="s">
        <v>732</v>
      </c>
      <c r="B766" s="31">
        <v>609</v>
      </c>
      <c r="C766" s="52" t="s">
        <v>731</v>
      </c>
      <c r="D766" s="52" t="s">
        <v>825</v>
      </c>
      <c r="E766" s="30" t="s">
        <v>588</v>
      </c>
      <c r="F766" s="30" t="s">
        <v>733</v>
      </c>
      <c r="G766" s="118">
        <f>G767</f>
        <v>1100</v>
      </c>
    </row>
    <row r="767" spans="1:7" s="49" customFormat="1" x14ac:dyDescent="0.2">
      <c r="A767" s="84" t="s">
        <v>734</v>
      </c>
      <c r="B767" s="30" t="s">
        <v>722</v>
      </c>
      <c r="C767" s="30" t="s">
        <v>731</v>
      </c>
      <c r="D767" s="30" t="s">
        <v>825</v>
      </c>
      <c r="E767" s="30" t="s">
        <v>588</v>
      </c>
      <c r="F767" s="30" t="s">
        <v>735</v>
      </c>
      <c r="G767" s="118">
        <v>1100</v>
      </c>
    </row>
    <row r="768" spans="1:7" s="49" customFormat="1" ht="24" x14ac:dyDescent="0.2">
      <c r="A768" s="80" t="s">
        <v>717</v>
      </c>
      <c r="B768" s="24" t="s">
        <v>722</v>
      </c>
      <c r="C768" s="24" t="s">
        <v>731</v>
      </c>
      <c r="D768" s="24" t="s">
        <v>825</v>
      </c>
      <c r="E768" s="24" t="s">
        <v>76</v>
      </c>
      <c r="F768" s="24"/>
      <c r="G768" s="117">
        <f>G769</f>
        <v>1900</v>
      </c>
    </row>
    <row r="769" spans="1:7" s="49" customFormat="1" x14ac:dyDescent="0.2">
      <c r="A769" s="84" t="s">
        <v>473</v>
      </c>
      <c r="B769" s="30" t="s">
        <v>722</v>
      </c>
      <c r="C769" s="30" t="s">
        <v>731</v>
      </c>
      <c r="D769" s="30" t="s">
        <v>825</v>
      </c>
      <c r="E769" s="30" t="s">
        <v>76</v>
      </c>
      <c r="F769" s="30" t="s">
        <v>226</v>
      </c>
      <c r="G769" s="118">
        <f>G770</f>
        <v>1900</v>
      </c>
    </row>
    <row r="770" spans="1:7" s="49" customFormat="1" ht="15" customHeight="1" x14ac:dyDescent="0.2">
      <c r="A770" s="84" t="s">
        <v>227</v>
      </c>
      <c r="B770" s="30" t="s">
        <v>722</v>
      </c>
      <c r="C770" s="30" t="s">
        <v>731</v>
      </c>
      <c r="D770" s="30" t="s">
        <v>825</v>
      </c>
      <c r="E770" s="30" t="s">
        <v>76</v>
      </c>
      <c r="F770" s="30" t="s">
        <v>228</v>
      </c>
      <c r="G770" s="118">
        <f>1000+900</f>
        <v>1900</v>
      </c>
    </row>
    <row r="771" spans="1:7" s="49" customFormat="1" ht="24" x14ac:dyDescent="0.2">
      <c r="A771" s="80" t="s">
        <v>77</v>
      </c>
      <c r="B771" s="24" t="s">
        <v>722</v>
      </c>
      <c r="C771" s="24" t="s">
        <v>731</v>
      </c>
      <c r="D771" s="24" t="s">
        <v>825</v>
      </c>
      <c r="E771" s="24" t="s">
        <v>78</v>
      </c>
      <c r="F771" s="24"/>
      <c r="G771" s="117">
        <f>G772</f>
        <v>0</v>
      </c>
    </row>
    <row r="772" spans="1:7" s="49" customFormat="1" x14ac:dyDescent="0.2">
      <c r="A772" s="84" t="s">
        <v>473</v>
      </c>
      <c r="B772" s="30" t="s">
        <v>722</v>
      </c>
      <c r="C772" s="30" t="s">
        <v>731</v>
      </c>
      <c r="D772" s="30" t="s">
        <v>825</v>
      </c>
      <c r="E772" s="30" t="s">
        <v>78</v>
      </c>
      <c r="F772" s="30" t="s">
        <v>226</v>
      </c>
      <c r="G772" s="118">
        <f>G773</f>
        <v>0</v>
      </c>
    </row>
    <row r="773" spans="1:7" s="49" customFormat="1" ht="15" customHeight="1" x14ac:dyDescent="0.2">
      <c r="A773" s="84" t="s">
        <v>227</v>
      </c>
      <c r="B773" s="30" t="s">
        <v>722</v>
      </c>
      <c r="C773" s="30" t="s">
        <v>731</v>
      </c>
      <c r="D773" s="30" t="s">
        <v>825</v>
      </c>
      <c r="E773" s="30" t="s">
        <v>78</v>
      </c>
      <c r="F773" s="30" t="s">
        <v>228</v>
      </c>
      <c r="G773" s="118">
        <f>1000-900-100</f>
        <v>0</v>
      </c>
    </row>
    <row r="774" spans="1:7" s="49" customFormat="1" ht="24" x14ac:dyDescent="0.2">
      <c r="A774" s="80" t="s">
        <v>719</v>
      </c>
      <c r="B774" s="24" t="s">
        <v>722</v>
      </c>
      <c r="C774" s="24" t="s">
        <v>731</v>
      </c>
      <c r="D774" s="24" t="s">
        <v>825</v>
      </c>
      <c r="E774" s="24" t="s">
        <v>308</v>
      </c>
      <c r="F774" s="30"/>
      <c r="G774" s="42">
        <f>G775</f>
        <v>59700</v>
      </c>
    </row>
    <row r="775" spans="1:7" s="49" customFormat="1" ht="24" x14ac:dyDescent="0.2">
      <c r="A775" s="83" t="s">
        <v>720</v>
      </c>
      <c r="B775" s="25" t="s">
        <v>722</v>
      </c>
      <c r="C775" s="25" t="s">
        <v>731</v>
      </c>
      <c r="D775" s="25" t="s">
        <v>825</v>
      </c>
      <c r="E775" s="25" t="s">
        <v>74</v>
      </c>
      <c r="F775" s="33"/>
      <c r="G775" s="45">
        <f>G776+G778</f>
        <v>59700</v>
      </c>
    </row>
    <row r="776" spans="1:7" s="49" customFormat="1" x14ac:dyDescent="0.2">
      <c r="A776" s="84" t="s">
        <v>473</v>
      </c>
      <c r="B776" s="30" t="s">
        <v>722</v>
      </c>
      <c r="C776" s="30" t="s">
        <v>731</v>
      </c>
      <c r="D776" s="30" t="s">
        <v>825</v>
      </c>
      <c r="E776" s="30" t="s">
        <v>74</v>
      </c>
      <c r="F776" s="30" t="s">
        <v>226</v>
      </c>
      <c r="G776" s="41">
        <f>G777</f>
        <v>15260</v>
      </c>
    </row>
    <row r="777" spans="1:7" s="49" customFormat="1" ht="15" customHeight="1" x14ac:dyDescent="0.2">
      <c r="A777" s="84" t="s">
        <v>227</v>
      </c>
      <c r="B777" s="30" t="s">
        <v>722</v>
      </c>
      <c r="C777" s="30" t="s">
        <v>731</v>
      </c>
      <c r="D777" s="30" t="s">
        <v>825</v>
      </c>
      <c r="E777" s="30" t="s">
        <v>74</v>
      </c>
      <c r="F777" s="30" t="s">
        <v>228</v>
      </c>
      <c r="G777" s="41">
        <f>3000+500+4760+7000</f>
        <v>15260</v>
      </c>
    </row>
    <row r="778" spans="1:7" s="49" customFormat="1" ht="24" x14ac:dyDescent="0.2">
      <c r="A778" s="84" t="s">
        <v>732</v>
      </c>
      <c r="B778" s="31">
        <v>609</v>
      </c>
      <c r="C778" s="52" t="s">
        <v>731</v>
      </c>
      <c r="D778" s="52" t="s">
        <v>825</v>
      </c>
      <c r="E778" s="30" t="s">
        <v>74</v>
      </c>
      <c r="F778" s="30" t="s">
        <v>733</v>
      </c>
      <c r="G778" s="41">
        <f>G779</f>
        <v>44440</v>
      </c>
    </row>
    <row r="779" spans="1:7" s="49" customFormat="1" x14ac:dyDescent="0.2">
      <c r="A779" s="84" t="s">
        <v>734</v>
      </c>
      <c r="B779" s="30" t="s">
        <v>722</v>
      </c>
      <c r="C779" s="30" t="s">
        <v>731</v>
      </c>
      <c r="D779" s="30" t="s">
        <v>825</v>
      </c>
      <c r="E779" s="30" t="s">
        <v>74</v>
      </c>
      <c r="F779" s="30" t="s">
        <v>735</v>
      </c>
      <c r="G779" s="41">
        <f>40600+8600-4760</f>
        <v>44440</v>
      </c>
    </row>
    <row r="780" spans="1:7" s="49" customFormat="1" ht="12.75" customHeight="1" x14ac:dyDescent="0.2">
      <c r="A780" s="80" t="s">
        <v>309</v>
      </c>
      <c r="B780" s="24" t="s">
        <v>722</v>
      </c>
      <c r="C780" s="24" t="s">
        <v>731</v>
      </c>
      <c r="D780" s="24" t="s">
        <v>825</v>
      </c>
      <c r="E780" s="24" t="s">
        <v>75</v>
      </c>
      <c r="F780" s="24"/>
      <c r="G780" s="42">
        <f>G781</f>
        <v>500</v>
      </c>
    </row>
    <row r="781" spans="1:7" s="49" customFormat="1" x14ac:dyDescent="0.2">
      <c r="A781" s="84" t="s">
        <v>473</v>
      </c>
      <c r="B781" s="30" t="s">
        <v>722</v>
      </c>
      <c r="C781" s="30" t="s">
        <v>731</v>
      </c>
      <c r="D781" s="30" t="s">
        <v>825</v>
      </c>
      <c r="E781" s="30" t="s">
        <v>75</v>
      </c>
      <c r="F781" s="30" t="s">
        <v>226</v>
      </c>
      <c r="G781" s="41">
        <f>G782</f>
        <v>500</v>
      </c>
    </row>
    <row r="782" spans="1:7" s="49" customFormat="1" ht="15" customHeight="1" x14ac:dyDescent="0.2">
      <c r="A782" s="84" t="s">
        <v>227</v>
      </c>
      <c r="B782" s="30" t="s">
        <v>722</v>
      </c>
      <c r="C782" s="30" t="s">
        <v>731</v>
      </c>
      <c r="D782" s="30" t="s">
        <v>825</v>
      </c>
      <c r="E782" s="30" t="s">
        <v>75</v>
      </c>
      <c r="F782" s="30" t="s">
        <v>228</v>
      </c>
      <c r="G782" s="41">
        <f>1000-500</f>
        <v>500</v>
      </c>
    </row>
    <row r="783" spans="1:7" s="48" customFormat="1" x14ac:dyDescent="0.2">
      <c r="A783" s="80" t="s">
        <v>671</v>
      </c>
      <c r="B783" s="24" t="s">
        <v>722</v>
      </c>
      <c r="C783" s="24" t="s">
        <v>731</v>
      </c>
      <c r="D783" s="24" t="s">
        <v>817</v>
      </c>
      <c r="E783" s="24"/>
      <c r="F783" s="24"/>
      <c r="G783" s="42">
        <f>G784</f>
        <v>137782.2464</v>
      </c>
    </row>
    <row r="784" spans="1:7" s="48" customFormat="1" ht="27" x14ac:dyDescent="0.2">
      <c r="A784" s="86" t="s">
        <v>65</v>
      </c>
      <c r="B784" s="53" t="s">
        <v>722</v>
      </c>
      <c r="C784" s="53" t="s">
        <v>731</v>
      </c>
      <c r="D784" s="53" t="s">
        <v>817</v>
      </c>
      <c r="E784" s="53" t="s">
        <v>410</v>
      </c>
      <c r="F784" s="53"/>
      <c r="G784" s="57">
        <f>G785</f>
        <v>137782.2464</v>
      </c>
    </row>
    <row r="785" spans="1:7" s="48" customFormat="1" ht="12.75" customHeight="1" x14ac:dyDescent="0.2">
      <c r="A785" s="80" t="s">
        <v>754</v>
      </c>
      <c r="B785" s="24" t="s">
        <v>758</v>
      </c>
      <c r="C785" s="24" t="s">
        <v>731</v>
      </c>
      <c r="D785" s="24" t="s">
        <v>817</v>
      </c>
      <c r="E785" s="24" t="s">
        <v>276</v>
      </c>
      <c r="F785" s="24"/>
      <c r="G785" s="42">
        <f>G786+G791+G794</f>
        <v>137782.2464</v>
      </c>
    </row>
    <row r="786" spans="1:7" s="48" customFormat="1" ht="15" customHeight="1" x14ac:dyDescent="0.2">
      <c r="A786" s="83" t="s">
        <v>198</v>
      </c>
      <c r="B786" s="25" t="s">
        <v>758</v>
      </c>
      <c r="C786" s="25" t="s">
        <v>731</v>
      </c>
      <c r="D786" s="25" t="s">
        <v>817</v>
      </c>
      <c r="E786" s="25" t="s">
        <v>79</v>
      </c>
      <c r="F786" s="33"/>
      <c r="G786" s="45">
        <f>G787+G789</f>
        <v>23782.2464</v>
      </c>
    </row>
    <row r="787" spans="1:7" s="48" customFormat="1" x14ac:dyDescent="0.2">
      <c r="A787" s="84" t="s">
        <v>473</v>
      </c>
      <c r="B787" s="30" t="s">
        <v>722</v>
      </c>
      <c r="C787" s="30" t="s">
        <v>731</v>
      </c>
      <c r="D787" s="30" t="s">
        <v>817</v>
      </c>
      <c r="E787" s="30" t="s">
        <v>79</v>
      </c>
      <c r="F787" s="30" t="s">
        <v>226</v>
      </c>
      <c r="G787" s="41">
        <f>G788</f>
        <v>319.63299999999998</v>
      </c>
    </row>
    <row r="788" spans="1:7" s="48" customFormat="1" ht="15" customHeight="1" x14ac:dyDescent="0.2">
      <c r="A788" s="84" t="s">
        <v>227</v>
      </c>
      <c r="B788" s="30" t="s">
        <v>722</v>
      </c>
      <c r="C788" s="30" t="s">
        <v>731</v>
      </c>
      <c r="D788" s="30" t="s">
        <v>817</v>
      </c>
      <c r="E788" s="30" t="s">
        <v>79</v>
      </c>
      <c r="F788" s="30" t="s">
        <v>228</v>
      </c>
      <c r="G788" s="41">
        <v>319.63299999999998</v>
      </c>
    </row>
    <row r="789" spans="1:7" s="48" customFormat="1" ht="24" x14ac:dyDescent="0.2">
      <c r="A789" s="84" t="s">
        <v>246</v>
      </c>
      <c r="B789" s="30" t="s">
        <v>722</v>
      </c>
      <c r="C789" s="30" t="s">
        <v>731</v>
      </c>
      <c r="D789" s="30" t="s">
        <v>817</v>
      </c>
      <c r="E789" s="30" t="s">
        <v>79</v>
      </c>
      <c r="F789" s="30" t="s">
        <v>702</v>
      </c>
      <c r="G789" s="41">
        <f>G790</f>
        <v>23462.613399999998</v>
      </c>
    </row>
    <row r="790" spans="1:7" s="48" customFormat="1" x14ac:dyDescent="0.2">
      <c r="A790" s="84" t="s">
        <v>247</v>
      </c>
      <c r="B790" s="30" t="s">
        <v>722</v>
      </c>
      <c r="C790" s="30" t="s">
        <v>731</v>
      </c>
      <c r="D790" s="30" t="s">
        <v>817</v>
      </c>
      <c r="E790" s="30" t="s">
        <v>79</v>
      </c>
      <c r="F790" s="30" t="s">
        <v>724</v>
      </c>
      <c r="G790" s="41">
        <f>21500+2282.2464-319.633</f>
        <v>23462.613399999998</v>
      </c>
    </row>
    <row r="791" spans="1:7" s="51" customFormat="1" x14ac:dyDescent="0.2">
      <c r="A791" s="83" t="s">
        <v>417</v>
      </c>
      <c r="B791" s="25" t="s">
        <v>722</v>
      </c>
      <c r="C791" s="25" t="s">
        <v>731</v>
      </c>
      <c r="D791" s="25" t="s">
        <v>817</v>
      </c>
      <c r="E791" s="25" t="s">
        <v>80</v>
      </c>
      <c r="F791" s="25"/>
      <c r="G791" s="45">
        <f>G792</f>
        <v>80000</v>
      </c>
    </row>
    <row r="792" spans="1:7" s="48" customFormat="1" x14ac:dyDescent="0.2">
      <c r="A792" s="84" t="s">
        <v>473</v>
      </c>
      <c r="B792" s="30" t="s">
        <v>722</v>
      </c>
      <c r="C792" s="30" t="s">
        <v>731</v>
      </c>
      <c r="D792" s="30" t="s">
        <v>817</v>
      </c>
      <c r="E792" s="30" t="s">
        <v>80</v>
      </c>
      <c r="F792" s="30" t="s">
        <v>226</v>
      </c>
      <c r="G792" s="41">
        <f>G793</f>
        <v>80000</v>
      </c>
    </row>
    <row r="793" spans="1:7" ht="15" customHeight="1" x14ac:dyDescent="0.2">
      <c r="A793" s="84" t="s">
        <v>227</v>
      </c>
      <c r="B793" s="30" t="s">
        <v>722</v>
      </c>
      <c r="C793" s="30" t="s">
        <v>731</v>
      </c>
      <c r="D793" s="30" t="s">
        <v>817</v>
      </c>
      <c r="E793" s="30" t="s">
        <v>80</v>
      </c>
      <c r="F793" s="30" t="s">
        <v>228</v>
      </c>
      <c r="G793" s="41">
        <f>70000+10000</f>
        <v>80000</v>
      </c>
    </row>
    <row r="794" spans="1:7" ht="36" x14ac:dyDescent="0.2">
      <c r="A794" s="62" t="s">
        <v>612</v>
      </c>
      <c r="B794" s="25" t="s">
        <v>722</v>
      </c>
      <c r="C794" s="25" t="s">
        <v>731</v>
      </c>
      <c r="D794" s="25" t="s">
        <v>817</v>
      </c>
      <c r="E794" s="25" t="s">
        <v>81</v>
      </c>
      <c r="F794" s="25"/>
      <c r="G794" s="122">
        <f>G795</f>
        <v>34000</v>
      </c>
    </row>
    <row r="795" spans="1:7" x14ac:dyDescent="0.2">
      <c r="A795" s="84" t="s">
        <v>229</v>
      </c>
      <c r="B795" s="30" t="s">
        <v>722</v>
      </c>
      <c r="C795" s="30" t="s">
        <v>731</v>
      </c>
      <c r="D795" s="30" t="s">
        <v>817</v>
      </c>
      <c r="E795" s="30" t="s">
        <v>81</v>
      </c>
      <c r="F795" s="30" t="s">
        <v>230</v>
      </c>
      <c r="G795" s="118">
        <f>G796</f>
        <v>34000</v>
      </c>
    </row>
    <row r="796" spans="1:7" ht="24" x14ac:dyDescent="0.2">
      <c r="A796" s="84" t="s">
        <v>105</v>
      </c>
      <c r="B796" s="30" t="s">
        <v>722</v>
      </c>
      <c r="C796" s="30" t="s">
        <v>731</v>
      </c>
      <c r="D796" s="30" t="s">
        <v>817</v>
      </c>
      <c r="E796" s="30" t="s">
        <v>81</v>
      </c>
      <c r="F796" s="30" t="s">
        <v>729</v>
      </c>
      <c r="G796" s="118">
        <v>34000</v>
      </c>
    </row>
    <row r="797" spans="1:7" s="50" customFormat="1" x14ac:dyDescent="0.2">
      <c r="A797" s="80" t="s">
        <v>672</v>
      </c>
      <c r="B797" s="24" t="s">
        <v>722</v>
      </c>
      <c r="C797" s="24" t="s">
        <v>731</v>
      </c>
      <c r="D797" s="24" t="s">
        <v>731</v>
      </c>
      <c r="E797" s="24"/>
      <c r="F797" s="24"/>
      <c r="G797" s="42">
        <f>G798</f>
        <v>20675</v>
      </c>
    </row>
    <row r="798" spans="1:7" s="51" customFormat="1" ht="27" x14ac:dyDescent="0.2">
      <c r="A798" s="86" t="s">
        <v>65</v>
      </c>
      <c r="B798" s="53" t="s">
        <v>722</v>
      </c>
      <c r="C798" s="53" t="s">
        <v>731</v>
      </c>
      <c r="D798" s="53" t="s">
        <v>731</v>
      </c>
      <c r="E798" s="53" t="s">
        <v>410</v>
      </c>
      <c r="F798" s="53"/>
      <c r="G798" s="57">
        <f>G799+G810</f>
        <v>20675</v>
      </c>
    </row>
    <row r="799" spans="1:7" s="51" customFormat="1" ht="14.25" customHeight="1" x14ac:dyDescent="0.2">
      <c r="A799" s="80" t="s">
        <v>754</v>
      </c>
      <c r="B799" s="24" t="s">
        <v>722</v>
      </c>
      <c r="C799" s="24" t="s">
        <v>731</v>
      </c>
      <c r="D799" s="24" t="s">
        <v>731</v>
      </c>
      <c r="E799" s="24" t="s">
        <v>276</v>
      </c>
      <c r="F799" s="30"/>
      <c r="G799" s="42">
        <f>G800</f>
        <v>14405</v>
      </c>
    </row>
    <row r="800" spans="1:7" s="51" customFormat="1" ht="24" x14ac:dyDescent="0.2">
      <c r="A800" s="80" t="s">
        <v>419</v>
      </c>
      <c r="B800" s="24" t="s">
        <v>722</v>
      </c>
      <c r="C800" s="24" t="s">
        <v>731</v>
      </c>
      <c r="D800" s="24" t="s">
        <v>731</v>
      </c>
      <c r="E800" s="24" t="s">
        <v>276</v>
      </c>
      <c r="F800" s="30"/>
      <c r="G800" s="42">
        <f>G801</f>
        <v>14405</v>
      </c>
    </row>
    <row r="801" spans="1:7" s="51" customFormat="1" ht="24" x14ac:dyDescent="0.2">
      <c r="A801" s="83" t="s">
        <v>704</v>
      </c>
      <c r="B801" s="25" t="s">
        <v>722</v>
      </c>
      <c r="C801" s="25" t="s">
        <v>731</v>
      </c>
      <c r="D801" s="25" t="s">
        <v>731</v>
      </c>
      <c r="E801" s="25" t="s">
        <v>276</v>
      </c>
      <c r="F801" s="25"/>
      <c r="G801" s="45">
        <f>G802+G805</f>
        <v>14405</v>
      </c>
    </row>
    <row r="802" spans="1:7" s="48" customFormat="1" x14ac:dyDescent="0.2">
      <c r="A802" s="82" t="s">
        <v>685</v>
      </c>
      <c r="B802" s="24" t="s">
        <v>722</v>
      </c>
      <c r="C802" s="24" t="s">
        <v>731</v>
      </c>
      <c r="D802" s="24" t="s">
        <v>731</v>
      </c>
      <c r="E802" s="24" t="s">
        <v>82</v>
      </c>
      <c r="F802" s="24"/>
      <c r="G802" s="42">
        <f>G803</f>
        <v>12863</v>
      </c>
    </row>
    <row r="803" spans="1:7" s="48" customFormat="1" ht="36" x14ac:dyDescent="0.2">
      <c r="A803" s="84" t="s">
        <v>217</v>
      </c>
      <c r="B803" s="30" t="s">
        <v>722</v>
      </c>
      <c r="C803" s="30" t="s">
        <v>731</v>
      </c>
      <c r="D803" s="30" t="s">
        <v>731</v>
      </c>
      <c r="E803" s="30" t="s">
        <v>82</v>
      </c>
      <c r="F803" s="30" t="s">
        <v>218</v>
      </c>
      <c r="G803" s="41">
        <f>G804</f>
        <v>12863</v>
      </c>
    </row>
    <row r="804" spans="1:7" s="48" customFormat="1" x14ac:dyDescent="0.2">
      <c r="A804" s="84" t="s">
        <v>219</v>
      </c>
      <c r="B804" s="30" t="s">
        <v>722</v>
      </c>
      <c r="C804" s="30" t="s">
        <v>731</v>
      </c>
      <c r="D804" s="30" t="s">
        <v>731</v>
      </c>
      <c r="E804" s="30" t="s">
        <v>82</v>
      </c>
      <c r="F804" s="30" t="s">
        <v>224</v>
      </c>
      <c r="G804" s="41">
        <f>8600+2698+1565</f>
        <v>12863</v>
      </c>
    </row>
    <row r="805" spans="1:7" x14ac:dyDescent="0.2">
      <c r="A805" s="80" t="s">
        <v>225</v>
      </c>
      <c r="B805" s="24" t="s">
        <v>722</v>
      </c>
      <c r="C805" s="24" t="s">
        <v>731</v>
      </c>
      <c r="D805" s="24" t="s">
        <v>731</v>
      </c>
      <c r="E805" s="24" t="s">
        <v>83</v>
      </c>
      <c r="F805" s="24"/>
      <c r="G805" s="42">
        <f>G806+G808</f>
        <v>1542</v>
      </c>
    </row>
    <row r="806" spans="1:7" x14ac:dyDescent="0.2">
      <c r="A806" s="84" t="s">
        <v>473</v>
      </c>
      <c r="B806" s="30" t="s">
        <v>722</v>
      </c>
      <c r="C806" s="30" t="s">
        <v>731</v>
      </c>
      <c r="D806" s="30" t="s">
        <v>731</v>
      </c>
      <c r="E806" s="30" t="s">
        <v>83</v>
      </c>
      <c r="F806" s="30" t="s">
        <v>226</v>
      </c>
      <c r="G806" s="41">
        <f>G807</f>
        <v>1322</v>
      </c>
    </row>
    <row r="807" spans="1:7" ht="15" customHeight="1" x14ac:dyDescent="0.2">
      <c r="A807" s="84" t="s">
        <v>227</v>
      </c>
      <c r="B807" s="30" t="s">
        <v>722</v>
      </c>
      <c r="C807" s="30" t="s">
        <v>731</v>
      </c>
      <c r="D807" s="30" t="s">
        <v>731</v>
      </c>
      <c r="E807" s="30" t="s">
        <v>83</v>
      </c>
      <c r="F807" s="30" t="s">
        <v>228</v>
      </c>
      <c r="G807" s="41">
        <v>1322</v>
      </c>
    </row>
    <row r="808" spans="1:7" x14ac:dyDescent="0.2">
      <c r="A808" s="84" t="s">
        <v>229</v>
      </c>
      <c r="B808" s="30" t="s">
        <v>722</v>
      </c>
      <c r="C808" s="30" t="s">
        <v>731</v>
      </c>
      <c r="D808" s="30" t="s">
        <v>731</v>
      </c>
      <c r="E808" s="30" t="s">
        <v>83</v>
      </c>
      <c r="F808" s="30" t="s">
        <v>230</v>
      </c>
      <c r="G808" s="41">
        <f>G809</f>
        <v>220</v>
      </c>
    </row>
    <row r="809" spans="1:7" x14ac:dyDescent="0.2">
      <c r="A809" s="84" t="s">
        <v>106</v>
      </c>
      <c r="B809" s="30" t="s">
        <v>722</v>
      </c>
      <c r="C809" s="30" t="s">
        <v>731</v>
      </c>
      <c r="D809" s="30" t="s">
        <v>731</v>
      </c>
      <c r="E809" s="30" t="s">
        <v>83</v>
      </c>
      <c r="F809" s="30" t="s">
        <v>231</v>
      </c>
      <c r="G809" s="41">
        <f>30+190</f>
        <v>220</v>
      </c>
    </row>
    <row r="810" spans="1:7" ht="13.5" customHeight="1" x14ac:dyDescent="0.2">
      <c r="A810" s="75" t="s">
        <v>199</v>
      </c>
      <c r="B810" s="24" t="s">
        <v>722</v>
      </c>
      <c r="C810" s="24" t="s">
        <v>731</v>
      </c>
      <c r="D810" s="24" t="s">
        <v>731</v>
      </c>
      <c r="E810" s="43" t="s">
        <v>84</v>
      </c>
      <c r="F810" s="24"/>
      <c r="G810" s="42">
        <f>G811</f>
        <v>6270</v>
      </c>
    </row>
    <row r="811" spans="1:7" x14ac:dyDescent="0.2">
      <c r="A811" s="85" t="s">
        <v>819</v>
      </c>
      <c r="B811" s="33" t="s">
        <v>722</v>
      </c>
      <c r="C811" s="33" t="s">
        <v>731</v>
      </c>
      <c r="D811" s="33" t="s">
        <v>731</v>
      </c>
      <c r="E811" s="33" t="s">
        <v>84</v>
      </c>
      <c r="F811" s="33"/>
      <c r="G811" s="101">
        <f>G812+G814+G816</f>
        <v>6270</v>
      </c>
    </row>
    <row r="812" spans="1:7" ht="36" x14ac:dyDescent="0.2">
      <c r="A812" s="84" t="s">
        <v>217</v>
      </c>
      <c r="B812" s="30" t="s">
        <v>722</v>
      </c>
      <c r="C812" s="30" t="s">
        <v>731</v>
      </c>
      <c r="D812" s="30" t="s">
        <v>731</v>
      </c>
      <c r="E812" s="30" t="s">
        <v>84</v>
      </c>
      <c r="F812" s="30" t="s">
        <v>218</v>
      </c>
      <c r="G812" s="41">
        <f>G813</f>
        <v>4550</v>
      </c>
    </row>
    <row r="813" spans="1:7" x14ac:dyDescent="0.2">
      <c r="A813" s="84" t="s">
        <v>820</v>
      </c>
      <c r="B813" s="30" t="s">
        <v>722</v>
      </c>
      <c r="C813" s="30" t="s">
        <v>731</v>
      </c>
      <c r="D813" s="30" t="s">
        <v>731</v>
      </c>
      <c r="E813" s="30" t="s">
        <v>84</v>
      </c>
      <c r="F813" s="30" t="s">
        <v>821</v>
      </c>
      <c r="G813" s="41">
        <f>2500+750+1000+300</f>
        <v>4550</v>
      </c>
    </row>
    <row r="814" spans="1:7" x14ac:dyDescent="0.2">
      <c r="A814" s="84" t="s">
        <v>473</v>
      </c>
      <c r="B814" s="30" t="s">
        <v>722</v>
      </c>
      <c r="C814" s="30" t="s">
        <v>731</v>
      </c>
      <c r="D814" s="30" t="s">
        <v>731</v>
      </c>
      <c r="E814" s="30" t="s">
        <v>84</v>
      </c>
      <c r="F814" s="30" t="s">
        <v>226</v>
      </c>
      <c r="G814" s="41">
        <f>G815</f>
        <v>1299</v>
      </c>
    </row>
    <row r="815" spans="1:7" ht="15" customHeight="1" x14ac:dyDescent="0.2">
      <c r="A815" s="84" t="s">
        <v>227</v>
      </c>
      <c r="B815" s="30" t="s">
        <v>722</v>
      </c>
      <c r="C815" s="30" t="s">
        <v>731</v>
      </c>
      <c r="D815" s="30" t="s">
        <v>731</v>
      </c>
      <c r="E815" s="30" t="s">
        <v>84</v>
      </c>
      <c r="F815" s="30" t="s">
        <v>228</v>
      </c>
      <c r="G815" s="41">
        <v>1299</v>
      </c>
    </row>
    <row r="816" spans="1:7" x14ac:dyDescent="0.2">
      <c r="A816" s="84" t="s">
        <v>229</v>
      </c>
      <c r="B816" s="30" t="s">
        <v>722</v>
      </c>
      <c r="C816" s="30" t="s">
        <v>731</v>
      </c>
      <c r="D816" s="30" t="s">
        <v>731</v>
      </c>
      <c r="E816" s="30" t="s">
        <v>84</v>
      </c>
      <c r="F816" s="30" t="s">
        <v>230</v>
      </c>
      <c r="G816" s="41">
        <f>G817</f>
        <v>421</v>
      </c>
    </row>
    <row r="817" spans="1:7" x14ac:dyDescent="0.2">
      <c r="A817" s="84" t="s">
        <v>106</v>
      </c>
      <c r="B817" s="30" t="s">
        <v>722</v>
      </c>
      <c r="C817" s="30" t="s">
        <v>731</v>
      </c>
      <c r="D817" s="30" t="s">
        <v>731</v>
      </c>
      <c r="E817" s="30" t="s">
        <v>84</v>
      </c>
      <c r="F817" s="30" t="s">
        <v>231</v>
      </c>
      <c r="G817" s="41">
        <f>412+9</f>
        <v>421</v>
      </c>
    </row>
    <row r="818" spans="1:7" ht="31.5" x14ac:dyDescent="0.2">
      <c r="A818" s="79" t="s">
        <v>723</v>
      </c>
      <c r="B818" s="46" t="s">
        <v>724</v>
      </c>
      <c r="C818" s="47"/>
      <c r="D818" s="47"/>
      <c r="E818" s="46"/>
      <c r="F818" s="46"/>
      <c r="G818" s="102">
        <f>G819+G836</f>
        <v>122539</v>
      </c>
    </row>
    <row r="819" spans="1:7" s="48" customFormat="1" x14ac:dyDescent="0.2">
      <c r="A819" s="80" t="s">
        <v>256</v>
      </c>
      <c r="B819" s="24" t="s">
        <v>724</v>
      </c>
      <c r="C819" s="24" t="s">
        <v>214</v>
      </c>
      <c r="D819" s="24" t="s">
        <v>215</v>
      </c>
      <c r="E819" s="24"/>
      <c r="F819" s="24"/>
      <c r="G819" s="42">
        <f>G820+G831</f>
        <v>16039</v>
      </c>
    </row>
    <row r="820" spans="1:7" ht="24" x14ac:dyDescent="0.2">
      <c r="A820" s="80" t="s">
        <v>506</v>
      </c>
      <c r="B820" s="24" t="s">
        <v>724</v>
      </c>
      <c r="C820" s="24" t="s">
        <v>214</v>
      </c>
      <c r="D820" s="24" t="s">
        <v>474</v>
      </c>
      <c r="E820" s="24"/>
      <c r="F820" s="24"/>
      <c r="G820" s="42">
        <f>G821</f>
        <v>15389</v>
      </c>
    </row>
    <row r="821" spans="1:7" s="48" customFormat="1" ht="24" x14ac:dyDescent="0.2">
      <c r="A821" s="81" t="s">
        <v>517</v>
      </c>
      <c r="B821" s="25" t="s">
        <v>724</v>
      </c>
      <c r="C821" s="25" t="s">
        <v>214</v>
      </c>
      <c r="D821" s="25" t="s">
        <v>474</v>
      </c>
      <c r="E821" s="25" t="s">
        <v>382</v>
      </c>
      <c r="F821" s="16"/>
      <c r="G821" s="99">
        <f>G822</f>
        <v>15389</v>
      </c>
    </row>
    <row r="822" spans="1:7" s="48" customFormat="1" ht="13.5" x14ac:dyDescent="0.2">
      <c r="A822" s="82" t="s">
        <v>476</v>
      </c>
      <c r="B822" s="24" t="s">
        <v>724</v>
      </c>
      <c r="C822" s="24" t="s">
        <v>214</v>
      </c>
      <c r="D822" s="24" t="s">
        <v>474</v>
      </c>
      <c r="E822" s="24" t="s">
        <v>383</v>
      </c>
      <c r="F822" s="72"/>
      <c r="G822" s="57">
        <f>G823+G826</f>
        <v>15389</v>
      </c>
    </row>
    <row r="823" spans="1:7" s="48" customFormat="1" x14ac:dyDescent="0.2">
      <c r="A823" s="82" t="s">
        <v>515</v>
      </c>
      <c r="B823" s="24" t="s">
        <v>724</v>
      </c>
      <c r="C823" s="24" t="s">
        <v>214</v>
      </c>
      <c r="D823" s="24" t="s">
        <v>474</v>
      </c>
      <c r="E823" s="24" t="s">
        <v>384</v>
      </c>
      <c r="F823" s="16"/>
      <c r="G823" s="99">
        <f>G824</f>
        <v>12615</v>
      </c>
    </row>
    <row r="824" spans="1:7" s="48" customFormat="1" ht="36" x14ac:dyDescent="0.2">
      <c r="A824" s="84" t="s">
        <v>217</v>
      </c>
      <c r="B824" s="30" t="s">
        <v>724</v>
      </c>
      <c r="C824" s="30" t="s">
        <v>214</v>
      </c>
      <c r="D824" s="30" t="s">
        <v>474</v>
      </c>
      <c r="E824" s="30" t="s">
        <v>384</v>
      </c>
      <c r="F824" s="30" t="s">
        <v>218</v>
      </c>
      <c r="G824" s="41">
        <f>G825</f>
        <v>12615</v>
      </c>
    </row>
    <row r="825" spans="1:7" s="48" customFormat="1" x14ac:dyDescent="0.2">
      <c r="A825" s="84" t="s">
        <v>219</v>
      </c>
      <c r="B825" s="30" t="s">
        <v>724</v>
      </c>
      <c r="C825" s="30" t="s">
        <v>214</v>
      </c>
      <c r="D825" s="30" t="s">
        <v>474</v>
      </c>
      <c r="E825" s="30" t="s">
        <v>384</v>
      </c>
      <c r="F825" s="30" t="s">
        <v>224</v>
      </c>
      <c r="G825" s="41">
        <f>9695+2920</f>
        <v>12615</v>
      </c>
    </row>
    <row r="826" spans="1:7" s="48" customFormat="1" x14ac:dyDescent="0.2">
      <c r="A826" s="80" t="s">
        <v>516</v>
      </c>
      <c r="B826" s="24" t="s">
        <v>724</v>
      </c>
      <c r="C826" s="24" t="s">
        <v>214</v>
      </c>
      <c r="D826" s="24" t="s">
        <v>474</v>
      </c>
      <c r="E826" s="24" t="s">
        <v>385</v>
      </c>
      <c r="F826" s="24"/>
      <c r="G826" s="42">
        <f>G827+G829</f>
        <v>2774</v>
      </c>
    </row>
    <row r="827" spans="1:7" s="48" customFormat="1" x14ac:dyDescent="0.2">
      <c r="A827" s="84" t="s">
        <v>473</v>
      </c>
      <c r="B827" s="30" t="s">
        <v>724</v>
      </c>
      <c r="C827" s="30" t="s">
        <v>214</v>
      </c>
      <c r="D827" s="30" t="s">
        <v>474</v>
      </c>
      <c r="E827" s="30" t="s">
        <v>385</v>
      </c>
      <c r="F827" s="30" t="s">
        <v>226</v>
      </c>
      <c r="G827" s="41">
        <f>G828</f>
        <v>2769</v>
      </c>
    </row>
    <row r="828" spans="1:7" s="48" customFormat="1" ht="15" customHeight="1" x14ac:dyDescent="0.2">
      <c r="A828" s="84" t="s">
        <v>227</v>
      </c>
      <c r="B828" s="30" t="s">
        <v>724</v>
      </c>
      <c r="C828" s="30" t="s">
        <v>214</v>
      </c>
      <c r="D828" s="30" t="s">
        <v>474</v>
      </c>
      <c r="E828" s="30" t="s">
        <v>385</v>
      </c>
      <c r="F828" s="30" t="s">
        <v>228</v>
      </c>
      <c r="G828" s="41">
        <v>2769</v>
      </c>
    </row>
    <row r="829" spans="1:7" x14ac:dyDescent="0.2">
      <c r="A829" s="84" t="s">
        <v>229</v>
      </c>
      <c r="B829" s="30" t="s">
        <v>724</v>
      </c>
      <c r="C829" s="30" t="s">
        <v>214</v>
      </c>
      <c r="D829" s="30" t="s">
        <v>474</v>
      </c>
      <c r="E829" s="30" t="s">
        <v>385</v>
      </c>
      <c r="F829" s="30" t="s">
        <v>230</v>
      </c>
      <c r="G829" s="41">
        <f>G830</f>
        <v>5</v>
      </c>
    </row>
    <row r="830" spans="1:7" x14ac:dyDescent="0.2">
      <c r="A830" s="84" t="s">
        <v>106</v>
      </c>
      <c r="B830" s="30" t="s">
        <v>724</v>
      </c>
      <c r="C830" s="30" t="s">
        <v>214</v>
      </c>
      <c r="D830" s="30" t="s">
        <v>474</v>
      </c>
      <c r="E830" s="30" t="s">
        <v>385</v>
      </c>
      <c r="F830" s="30" t="s">
        <v>231</v>
      </c>
      <c r="G830" s="41">
        <v>5</v>
      </c>
    </row>
    <row r="831" spans="1:7" x14ac:dyDescent="0.2">
      <c r="A831" s="80" t="s">
        <v>509</v>
      </c>
      <c r="B831" s="24" t="s">
        <v>724</v>
      </c>
      <c r="C831" s="24" t="s">
        <v>214</v>
      </c>
      <c r="D831" s="24" t="s">
        <v>235</v>
      </c>
      <c r="E831" s="24"/>
      <c r="F831" s="24"/>
      <c r="G831" s="42">
        <f>G832</f>
        <v>650</v>
      </c>
    </row>
    <row r="832" spans="1:7" x14ac:dyDescent="0.2">
      <c r="A832" s="80" t="s">
        <v>476</v>
      </c>
      <c r="B832" s="24" t="s">
        <v>724</v>
      </c>
      <c r="C832" s="24" t="s">
        <v>214</v>
      </c>
      <c r="D832" s="24" t="s">
        <v>235</v>
      </c>
      <c r="E832" s="43" t="s">
        <v>383</v>
      </c>
      <c r="F832" s="24"/>
      <c r="G832" s="42">
        <f>G833</f>
        <v>650</v>
      </c>
    </row>
    <row r="833" spans="1:7" x14ac:dyDescent="0.2">
      <c r="A833" s="83" t="s">
        <v>510</v>
      </c>
      <c r="B833" s="25" t="s">
        <v>724</v>
      </c>
      <c r="C833" s="25" t="s">
        <v>214</v>
      </c>
      <c r="D833" s="25" t="s">
        <v>235</v>
      </c>
      <c r="E833" s="54" t="s">
        <v>147</v>
      </c>
      <c r="F833" s="25"/>
      <c r="G833" s="45">
        <f>G834</f>
        <v>650</v>
      </c>
    </row>
    <row r="834" spans="1:7" x14ac:dyDescent="0.2">
      <c r="A834" s="84" t="s">
        <v>229</v>
      </c>
      <c r="B834" s="30" t="s">
        <v>724</v>
      </c>
      <c r="C834" s="30" t="s">
        <v>214</v>
      </c>
      <c r="D834" s="30" t="s">
        <v>235</v>
      </c>
      <c r="E834" s="40" t="s">
        <v>147</v>
      </c>
      <c r="F834" s="30" t="s">
        <v>230</v>
      </c>
      <c r="G834" s="41">
        <f>G835</f>
        <v>650</v>
      </c>
    </row>
    <row r="835" spans="1:7" x14ac:dyDescent="0.2">
      <c r="A835" s="84" t="s">
        <v>306</v>
      </c>
      <c r="B835" s="30" t="s">
        <v>724</v>
      </c>
      <c r="C835" s="30" t="s">
        <v>214</v>
      </c>
      <c r="D835" s="30" t="s">
        <v>235</v>
      </c>
      <c r="E835" s="40" t="s">
        <v>147</v>
      </c>
      <c r="F835" s="30" t="s">
        <v>310</v>
      </c>
      <c r="G835" s="41">
        <f>1000-150-200</f>
        <v>650</v>
      </c>
    </row>
    <row r="836" spans="1:7" x14ac:dyDescent="0.2">
      <c r="A836" s="80" t="s">
        <v>693</v>
      </c>
      <c r="B836" s="24" t="s">
        <v>724</v>
      </c>
      <c r="C836" s="24" t="s">
        <v>235</v>
      </c>
      <c r="D836" s="24" t="s">
        <v>215</v>
      </c>
      <c r="E836" s="24"/>
      <c r="F836" s="24"/>
      <c r="G836" s="42">
        <f>G837</f>
        <v>106500</v>
      </c>
    </row>
    <row r="837" spans="1:7" x14ac:dyDescent="0.2">
      <c r="A837" s="80" t="s">
        <v>476</v>
      </c>
      <c r="B837" s="24" t="s">
        <v>724</v>
      </c>
      <c r="C837" s="24" t="s">
        <v>235</v>
      </c>
      <c r="D837" s="24" t="s">
        <v>214</v>
      </c>
      <c r="E837" s="43" t="s">
        <v>383</v>
      </c>
      <c r="F837" s="24"/>
      <c r="G837" s="42">
        <f>G838</f>
        <v>106500</v>
      </c>
    </row>
    <row r="838" spans="1:7" ht="15.75" x14ac:dyDescent="0.2">
      <c r="A838" s="80" t="s">
        <v>727</v>
      </c>
      <c r="B838" s="24" t="s">
        <v>724</v>
      </c>
      <c r="C838" s="24" t="s">
        <v>235</v>
      </c>
      <c r="D838" s="24" t="s">
        <v>214</v>
      </c>
      <c r="E838" s="24" t="s">
        <v>47</v>
      </c>
      <c r="F838" s="47"/>
      <c r="G838" s="42">
        <f>G839</f>
        <v>106500</v>
      </c>
    </row>
    <row r="839" spans="1:7" x14ac:dyDescent="0.2">
      <c r="A839" s="85" t="s">
        <v>507</v>
      </c>
      <c r="B839" s="33" t="s">
        <v>724</v>
      </c>
      <c r="C839" s="33" t="s">
        <v>235</v>
      </c>
      <c r="D839" s="33" t="s">
        <v>214</v>
      </c>
      <c r="E839" s="55" t="s">
        <v>47</v>
      </c>
      <c r="F839" s="33"/>
      <c r="G839" s="101">
        <f>G840</f>
        <v>106500</v>
      </c>
    </row>
    <row r="840" spans="1:7" x14ac:dyDescent="0.2">
      <c r="A840" s="84" t="s">
        <v>477</v>
      </c>
      <c r="B840" s="30" t="s">
        <v>724</v>
      </c>
      <c r="C840" s="30" t="s">
        <v>235</v>
      </c>
      <c r="D840" s="30" t="s">
        <v>214</v>
      </c>
      <c r="E840" s="30" t="s">
        <v>47</v>
      </c>
      <c r="F840" s="30" t="s">
        <v>478</v>
      </c>
      <c r="G840" s="41">
        <f>G841</f>
        <v>106500</v>
      </c>
    </row>
    <row r="841" spans="1:7" x14ac:dyDescent="0.2">
      <c r="A841" s="84" t="s">
        <v>479</v>
      </c>
      <c r="B841" s="30" t="s">
        <v>724</v>
      </c>
      <c r="C841" s="30" t="s">
        <v>235</v>
      </c>
      <c r="D841" s="30" t="s">
        <v>214</v>
      </c>
      <c r="E841" s="30" t="s">
        <v>47</v>
      </c>
      <c r="F841" s="30" t="s">
        <v>708</v>
      </c>
      <c r="G841" s="41">
        <f>122000-15000-500</f>
        <v>106500</v>
      </c>
    </row>
    <row r="842" spans="1:7" ht="31.5" x14ac:dyDescent="0.2">
      <c r="A842" s="79" t="s">
        <v>209</v>
      </c>
      <c r="B842" s="46" t="s">
        <v>725</v>
      </c>
      <c r="C842" s="46"/>
      <c r="D842" s="46"/>
      <c r="E842" s="46"/>
      <c r="F842" s="46"/>
      <c r="G842" s="102">
        <f>G843+G867</f>
        <v>15887</v>
      </c>
    </row>
    <row r="843" spans="1:7" x14ac:dyDescent="0.2">
      <c r="A843" s="80" t="s">
        <v>256</v>
      </c>
      <c r="B843" s="24" t="s">
        <v>725</v>
      </c>
      <c r="C843" s="24" t="s">
        <v>214</v>
      </c>
      <c r="D843" s="24" t="s">
        <v>215</v>
      </c>
      <c r="E843" s="24"/>
      <c r="F843" s="24"/>
      <c r="G843" s="42">
        <f>G844+G855</f>
        <v>14887</v>
      </c>
    </row>
    <row r="844" spans="1:7" ht="36" customHeight="1" x14ac:dyDescent="0.2">
      <c r="A844" s="80" t="s">
        <v>501</v>
      </c>
      <c r="B844" s="24" t="s">
        <v>725</v>
      </c>
      <c r="C844" s="24" t="s">
        <v>214</v>
      </c>
      <c r="D844" s="24" t="s">
        <v>216</v>
      </c>
      <c r="E844" s="24"/>
      <c r="F844" s="24"/>
      <c r="G844" s="42">
        <f>G845</f>
        <v>12872</v>
      </c>
    </row>
    <row r="845" spans="1:7" x14ac:dyDescent="0.2">
      <c r="A845" s="81" t="s">
        <v>212</v>
      </c>
      <c r="B845" s="25" t="s">
        <v>725</v>
      </c>
      <c r="C845" s="25" t="s">
        <v>214</v>
      </c>
      <c r="D845" s="25" t="s">
        <v>216</v>
      </c>
      <c r="E845" s="25" t="s">
        <v>382</v>
      </c>
      <c r="F845" s="25"/>
      <c r="G845" s="45">
        <f>G846</f>
        <v>12872</v>
      </c>
    </row>
    <row r="846" spans="1:7" x14ac:dyDescent="0.2">
      <c r="A846" s="82" t="s">
        <v>476</v>
      </c>
      <c r="B846" s="24" t="s">
        <v>725</v>
      </c>
      <c r="C846" s="24" t="s">
        <v>214</v>
      </c>
      <c r="D846" s="24" t="s">
        <v>216</v>
      </c>
      <c r="E846" s="24" t="s">
        <v>383</v>
      </c>
      <c r="F846" s="24"/>
      <c r="G846" s="42">
        <f>G847+G850</f>
        <v>12872</v>
      </c>
    </row>
    <row r="847" spans="1:7" x14ac:dyDescent="0.2">
      <c r="A847" s="82" t="s">
        <v>475</v>
      </c>
      <c r="B847" s="24" t="s">
        <v>725</v>
      </c>
      <c r="C847" s="24" t="s">
        <v>214</v>
      </c>
      <c r="D847" s="24" t="s">
        <v>216</v>
      </c>
      <c r="E847" s="24" t="s">
        <v>384</v>
      </c>
      <c r="F847" s="24"/>
      <c r="G847" s="42">
        <f>G848</f>
        <v>12312</v>
      </c>
    </row>
    <row r="848" spans="1:7" ht="36" x14ac:dyDescent="0.2">
      <c r="A848" s="84" t="s">
        <v>217</v>
      </c>
      <c r="B848" s="30" t="s">
        <v>725</v>
      </c>
      <c r="C848" s="30" t="s">
        <v>214</v>
      </c>
      <c r="D848" s="30" t="s">
        <v>216</v>
      </c>
      <c r="E848" s="30" t="s">
        <v>384</v>
      </c>
      <c r="F848" s="30" t="s">
        <v>218</v>
      </c>
      <c r="G848" s="41">
        <f>G849</f>
        <v>12312</v>
      </c>
    </row>
    <row r="849" spans="1:7" x14ac:dyDescent="0.2">
      <c r="A849" s="84" t="s">
        <v>219</v>
      </c>
      <c r="B849" s="30" t="s">
        <v>725</v>
      </c>
      <c r="C849" s="30" t="s">
        <v>214</v>
      </c>
      <c r="D849" s="30" t="s">
        <v>216</v>
      </c>
      <c r="E849" s="30" t="s">
        <v>384</v>
      </c>
      <c r="F849" s="30" t="s">
        <v>224</v>
      </c>
      <c r="G849" s="41">
        <f>9500+2832-20</f>
        <v>12312</v>
      </c>
    </row>
    <row r="850" spans="1:7" x14ac:dyDescent="0.2">
      <c r="A850" s="80" t="s">
        <v>225</v>
      </c>
      <c r="B850" s="24" t="s">
        <v>725</v>
      </c>
      <c r="C850" s="24" t="s">
        <v>214</v>
      </c>
      <c r="D850" s="24" t="s">
        <v>216</v>
      </c>
      <c r="E850" s="24" t="s">
        <v>385</v>
      </c>
      <c r="F850" s="24"/>
      <c r="G850" s="42">
        <f>G851+G853</f>
        <v>560</v>
      </c>
    </row>
    <row r="851" spans="1:7" x14ac:dyDescent="0.2">
      <c r="A851" s="84" t="s">
        <v>473</v>
      </c>
      <c r="B851" s="30" t="s">
        <v>725</v>
      </c>
      <c r="C851" s="30" t="s">
        <v>214</v>
      </c>
      <c r="D851" s="30" t="s">
        <v>216</v>
      </c>
      <c r="E851" s="30" t="s">
        <v>385</v>
      </c>
      <c r="F851" s="30" t="s">
        <v>226</v>
      </c>
      <c r="G851" s="41">
        <f>G852</f>
        <v>448</v>
      </c>
    </row>
    <row r="852" spans="1:7" ht="15" customHeight="1" x14ac:dyDescent="0.2">
      <c r="A852" s="84" t="s">
        <v>227</v>
      </c>
      <c r="B852" s="30" t="s">
        <v>725</v>
      </c>
      <c r="C852" s="30" t="s">
        <v>214</v>
      </c>
      <c r="D852" s="30" t="s">
        <v>216</v>
      </c>
      <c r="E852" s="30" t="s">
        <v>385</v>
      </c>
      <c r="F852" s="30" t="s">
        <v>228</v>
      </c>
      <c r="G852" s="41">
        <f>553-90-15</f>
        <v>448</v>
      </c>
    </row>
    <row r="853" spans="1:7" x14ac:dyDescent="0.2">
      <c r="A853" s="84" t="s">
        <v>229</v>
      </c>
      <c r="B853" s="30" t="s">
        <v>725</v>
      </c>
      <c r="C853" s="30" t="s">
        <v>214</v>
      </c>
      <c r="D853" s="30" t="s">
        <v>216</v>
      </c>
      <c r="E853" s="30" t="s">
        <v>385</v>
      </c>
      <c r="F853" s="30" t="s">
        <v>230</v>
      </c>
      <c r="G853" s="41">
        <f>G854</f>
        <v>112</v>
      </c>
    </row>
    <row r="854" spans="1:7" x14ac:dyDescent="0.2">
      <c r="A854" s="84" t="s">
        <v>106</v>
      </c>
      <c r="B854" s="30" t="s">
        <v>725</v>
      </c>
      <c r="C854" s="30" t="s">
        <v>214</v>
      </c>
      <c r="D854" s="30" t="s">
        <v>216</v>
      </c>
      <c r="E854" s="30" t="s">
        <v>385</v>
      </c>
      <c r="F854" s="30" t="s">
        <v>231</v>
      </c>
      <c r="G854" s="41">
        <f>2+90+20</f>
        <v>112</v>
      </c>
    </row>
    <row r="855" spans="1:7" x14ac:dyDescent="0.2">
      <c r="A855" s="80" t="s">
        <v>509</v>
      </c>
      <c r="B855" s="24" t="s">
        <v>725</v>
      </c>
      <c r="C855" s="24" t="s">
        <v>214</v>
      </c>
      <c r="D855" s="24" t="s">
        <v>235</v>
      </c>
      <c r="E855" s="30"/>
      <c r="F855" s="24"/>
      <c r="G855" s="42">
        <f>G856</f>
        <v>2015</v>
      </c>
    </row>
    <row r="856" spans="1:7" x14ac:dyDescent="0.2">
      <c r="A856" s="81" t="s">
        <v>212</v>
      </c>
      <c r="B856" s="25" t="s">
        <v>725</v>
      </c>
      <c r="C856" s="25" t="s">
        <v>214</v>
      </c>
      <c r="D856" s="25" t="s">
        <v>235</v>
      </c>
      <c r="E856" s="25" t="s">
        <v>382</v>
      </c>
      <c r="F856" s="25"/>
      <c r="G856" s="45">
        <f>G857</f>
        <v>2015</v>
      </c>
    </row>
    <row r="857" spans="1:7" x14ac:dyDescent="0.2">
      <c r="A857" s="80" t="s">
        <v>476</v>
      </c>
      <c r="B857" s="24" t="s">
        <v>725</v>
      </c>
      <c r="C857" s="24" t="s">
        <v>214</v>
      </c>
      <c r="D857" s="24" t="s">
        <v>235</v>
      </c>
      <c r="E857" s="24" t="s">
        <v>383</v>
      </c>
      <c r="F857" s="71"/>
      <c r="G857" s="42">
        <f>G858+G861+G864</f>
        <v>2015</v>
      </c>
    </row>
    <row r="858" spans="1:7" x14ac:dyDescent="0.2">
      <c r="A858" s="83" t="s">
        <v>510</v>
      </c>
      <c r="B858" s="25" t="s">
        <v>725</v>
      </c>
      <c r="C858" s="25" t="s">
        <v>214</v>
      </c>
      <c r="D858" s="25" t="s">
        <v>235</v>
      </c>
      <c r="E858" s="54" t="s">
        <v>147</v>
      </c>
      <c r="F858" s="25"/>
      <c r="G858" s="45">
        <f>G859</f>
        <v>15</v>
      </c>
    </row>
    <row r="859" spans="1:7" x14ac:dyDescent="0.2">
      <c r="A859" s="84" t="s">
        <v>229</v>
      </c>
      <c r="B859" s="30" t="s">
        <v>725</v>
      </c>
      <c r="C859" s="30" t="s">
        <v>214</v>
      </c>
      <c r="D859" s="30" t="s">
        <v>235</v>
      </c>
      <c r="E859" s="40" t="s">
        <v>147</v>
      </c>
      <c r="F859" s="30" t="s">
        <v>230</v>
      </c>
      <c r="G859" s="41">
        <f>G860</f>
        <v>15</v>
      </c>
    </row>
    <row r="860" spans="1:7" x14ac:dyDescent="0.2">
      <c r="A860" s="84" t="s">
        <v>306</v>
      </c>
      <c r="B860" s="30" t="s">
        <v>725</v>
      </c>
      <c r="C860" s="30" t="s">
        <v>214</v>
      </c>
      <c r="D860" s="30" t="s">
        <v>235</v>
      </c>
      <c r="E860" s="40" t="s">
        <v>147</v>
      </c>
      <c r="F860" s="30" t="s">
        <v>310</v>
      </c>
      <c r="G860" s="41">
        <v>15</v>
      </c>
    </row>
    <row r="861" spans="1:7" ht="24" x14ac:dyDescent="0.2">
      <c r="A861" s="85" t="s">
        <v>493</v>
      </c>
      <c r="B861" s="33" t="s">
        <v>725</v>
      </c>
      <c r="C861" s="33" t="s">
        <v>214</v>
      </c>
      <c r="D861" s="33" t="s">
        <v>235</v>
      </c>
      <c r="E861" s="30" t="s">
        <v>268</v>
      </c>
      <c r="F861" s="34"/>
      <c r="G861" s="101">
        <f>G862</f>
        <v>1000</v>
      </c>
    </row>
    <row r="862" spans="1:7" x14ac:dyDescent="0.2">
      <c r="A862" s="84" t="s">
        <v>473</v>
      </c>
      <c r="B862" s="30" t="s">
        <v>725</v>
      </c>
      <c r="C862" s="30" t="s">
        <v>214</v>
      </c>
      <c r="D862" s="30" t="s">
        <v>235</v>
      </c>
      <c r="E862" s="30" t="s">
        <v>268</v>
      </c>
      <c r="F862" s="31">
        <v>200</v>
      </c>
      <c r="G862" s="41">
        <f>G863</f>
        <v>1000</v>
      </c>
    </row>
    <row r="863" spans="1:7" ht="15" customHeight="1" x14ac:dyDescent="0.2">
      <c r="A863" s="84" t="s">
        <v>227</v>
      </c>
      <c r="B863" s="31">
        <v>611</v>
      </c>
      <c r="C863" s="30" t="s">
        <v>214</v>
      </c>
      <c r="D863" s="30" t="s">
        <v>235</v>
      </c>
      <c r="E863" s="30" t="s">
        <v>268</v>
      </c>
      <c r="F863" s="30" t="s">
        <v>228</v>
      </c>
      <c r="G863" s="41">
        <v>1000</v>
      </c>
    </row>
    <row r="864" spans="1:7" x14ac:dyDescent="0.2">
      <c r="A864" s="83" t="s">
        <v>553</v>
      </c>
      <c r="B864" s="25" t="s">
        <v>725</v>
      </c>
      <c r="C864" s="25" t="s">
        <v>214</v>
      </c>
      <c r="D864" s="25" t="s">
        <v>235</v>
      </c>
      <c r="E864" s="25" t="s">
        <v>269</v>
      </c>
      <c r="F864" s="25"/>
      <c r="G864" s="45">
        <f>G865</f>
        <v>1000</v>
      </c>
    </row>
    <row r="865" spans="1:7" x14ac:dyDescent="0.2">
      <c r="A865" s="84" t="s">
        <v>473</v>
      </c>
      <c r="B865" s="30" t="s">
        <v>725</v>
      </c>
      <c r="C865" s="30" t="s">
        <v>214</v>
      </c>
      <c r="D865" s="30" t="s">
        <v>235</v>
      </c>
      <c r="E865" s="30" t="s">
        <v>269</v>
      </c>
      <c r="F865" s="31">
        <v>200</v>
      </c>
      <c r="G865" s="41">
        <f>G866</f>
        <v>1000</v>
      </c>
    </row>
    <row r="866" spans="1:7" ht="15" customHeight="1" x14ac:dyDescent="0.2">
      <c r="A866" s="84" t="s">
        <v>227</v>
      </c>
      <c r="B866" s="31">
        <v>611</v>
      </c>
      <c r="C866" s="30" t="s">
        <v>214</v>
      </c>
      <c r="D866" s="30" t="s">
        <v>235</v>
      </c>
      <c r="E866" s="30" t="s">
        <v>269</v>
      </c>
      <c r="F866" s="30" t="s">
        <v>228</v>
      </c>
      <c r="G866" s="41">
        <v>1000</v>
      </c>
    </row>
    <row r="867" spans="1:7" x14ac:dyDescent="0.2">
      <c r="A867" s="80" t="s">
        <v>655</v>
      </c>
      <c r="B867" s="24" t="s">
        <v>725</v>
      </c>
      <c r="C867" s="24" t="s">
        <v>216</v>
      </c>
      <c r="D867" s="24" t="s">
        <v>215</v>
      </c>
      <c r="E867" s="24"/>
      <c r="F867" s="24"/>
      <c r="G867" s="42">
        <f t="shared" ref="G867:G872" si="7">G868</f>
        <v>1000</v>
      </c>
    </row>
    <row r="868" spans="1:7" x14ac:dyDescent="0.2">
      <c r="A868" s="80" t="s">
        <v>698</v>
      </c>
      <c r="B868" s="24" t="s">
        <v>725</v>
      </c>
      <c r="C868" s="24" t="s">
        <v>216</v>
      </c>
      <c r="D868" s="24" t="s">
        <v>823</v>
      </c>
      <c r="E868" s="25"/>
      <c r="F868" s="25"/>
      <c r="G868" s="42">
        <f t="shared" si="7"/>
        <v>1000</v>
      </c>
    </row>
    <row r="869" spans="1:7" x14ac:dyDescent="0.2">
      <c r="A869" s="81" t="s">
        <v>212</v>
      </c>
      <c r="B869" s="25" t="s">
        <v>725</v>
      </c>
      <c r="C869" s="25" t="s">
        <v>216</v>
      </c>
      <c r="D869" s="25" t="s">
        <v>823</v>
      </c>
      <c r="E869" s="25" t="s">
        <v>382</v>
      </c>
      <c r="F869" s="25"/>
      <c r="G869" s="45">
        <f t="shared" si="7"/>
        <v>1000</v>
      </c>
    </row>
    <row r="870" spans="1:7" x14ac:dyDescent="0.2">
      <c r="A870" s="80" t="s">
        <v>476</v>
      </c>
      <c r="B870" s="37">
        <v>611</v>
      </c>
      <c r="C870" s="24" t="s">
        <v>216</v>
      </c>
      <c r="D870" s="24" t="s">
        <v>823</v>
      </c>
      <c r="E870" s="24" t="s">
        <v>383</v>
      </c>
      <c r="F870" s="24"/>
      <c r="G870" s="42">
        <f t="shared" si="7"/>
        <v>1000</v>
      </c>
    </row>
    <row r="871" spans="1:7" s="48" customFormat="1" x14ac:dyDescent="0.2">
      <c r="A871" s="85" t="s">
        <v>554</v>
      </c>
      <c r="B871" s="34">
        <v>611</v>
      </c>
      <c r="C871" s="33" t="s">
        <v>216</v>
      </c>
      <c r="D871" s="33" t="s">
        <v>823</v>
      </c>
      <c r="E871" s="33" t="s">
        <v>270</v>
      </c>
      <c r="F871" s="33"/>
      <c r="G871" s="101">
        <f t="shared" si="7"/>
        <v>1000</v>
      </c>
    </row>
    <row r="872" spans="1:7" x14ac:dyDescent="0.2">
      <c r="A872" s="84" t="s">
        <v>473</v>
      </c>
      <c r="B872" s="30" t="s">
        <v>725</v>
      </c>
      <c r="C872" s="30" t="s">
        <v>216</v>
      </c>
      <c r="D872" s="30" t="s">
        <v>823</v>
      </c>
      <c r="E872" s="30" t="s">
        <v>270</v>
      </c>
      <c r="F872" s="31">
        <v>200</v>
      </c>
      <c r="G872" s="41">
        <f t="shared" si="7"/>
        <v>1000</v>
      </c>
    </row>
    <row r="873" spans="1:7" ht="15" customHeight="1" x14ac:dyDescent="0.2">
      <c r="A873" s="84" t="s">
        <v>227</v>
      </c>
      <c r="B873" s="31">
        <v>611</v>
      </c>
      <c r="C873" s="30" t="s">
        <v>216</v>
      </c>
      <c r="D873" s="30" t="s">
        <v>823</v>
      </c>
      <c r="E873" s="30" t="s">
        <v>270</v>
      </c>
      <c r="F873" s="30" t="s">
        <v>228</v>
      </c>
      <c r="G873" s="41">
        <v>1000</v>
      </c>
    </row>
    <row r="874" spans="1:7" ht="15.75" x14ac:dyDescent="0.2">
      <c r="A874" s="79" t="s">
        <v>472</v>
      </c>
      <c r="B874" s="46" t="s">
        <v>285</v>
      </c>
      <c r="C874" s="46"/>
      <c r="D874" s="46"/>
      <c r="E874" s="46"/>
      <c r="F874" s="46"/>
      <c r="G874" s="102">
        <f>G875+G965</f>
        <v>2567836.3336000005</v>
      </c>
    </row>
    <row r="875" spans="1:7" x14ac:dyDescent="0.2">
      <c r="A875" s="80" t="s">
        <v>673</v>
      </c>
      <c r="B875" s="24" t="s">
        <v>285</v>
      </c>
      <c r="C875" s="24" t="s">
        <v>824</v>
      </c>
      <c r="D875" s="24" t="s">
        <v>215</v>
      </c>
      <c r="E875" s="24"/>
      <c r="F875" s="24"/>
      <c r="G875" s="42">
        <f>G876+G890+G906+G922+G916</f>
        <v>2544148.2536000004</v>
      </c>
    </row>
    <row r="876" spans="1:7" x14ac:dyDescent="0.2">
      <c r="A876" s="80" t="s">
        <v>674</v>
      </c>
      <c r="B876" s="24" t="s">
        <v>285</v>
      </c>
      <c r="C876" s="24" t="s">
        <v>824</v>
      </c>
      <c r="D876" s="24" t="s">
        <v>214</v>
      </c>
      <c r="E876" s="24"/>
      <c r="F876" s="24"/>
      <c r="G876" s="42">
        <f>G877</f>
        <v>1138032.2535999999</v>
      </c>
    </row>
    <row r="877" spans="1:7" ht="27" x14ac:dyDescent="0.2">
      <c r="A877" s="86" t="s">
        <v>831</v>
      </c>
      <c r="B877" s="53" t="s">
        <v>285</v>
      </c>
      <c r="C877" s="53" t="s">
        <v>824</v>
      </c>
      <c r="D877" s="53" t="s">
        <v>214</v>
      </c>
      <c r="E877" s="53" t="s">
        <v>323</v>
      </c>
      <c r="F877" s="53"/>
      <c r="G877" s="57">
        <f>G878</f>
        <v>1138032.2535999999</v>
      </c>
    </row>
    <row r="878" spans="1:7" x14ac:dyDescent="0.2">
      <c r="A878" s="80" t="s">
        <v>445</v>
      </c>
      <c r="B878" s="24" t="s">
        <v>285</v>
      </c>
      <c r="C878" s="24" t="s">
        <v>824</v>
      </c>
      <c r="D878" s="24" t="s">
        <v>214</v>
      </c>
      <c r="E878" s="24" t="s">
        <v>324</v>
      </c>
      <c r="F878" s="24"/>
      <c r="G878" s="42">
        <f>G879+G883+G887</f>
        <v>1138032.2535999999</v>
      </c>
    </row>
    <row r="879" spans="1:7" ht="24" x14ac:dyDescent="0.2">
      <c r="A879" s="83" t="s">
        <v>446</v>
      </c>
      <c r="B879" s="25" t="s">
        <v>285</v>
      </c>
      <c r="C879" s="25" t="s">
        <v>824</v>
      </c>
      <c r="D879" s="25" t="s">
        <v>214</v>
      </c>
      <c r="E879" s="25" t="s">
        <v>325</v>
      </c>
      <c r="F879" s="25"/>
      <c r="G879" s="45">
        <f>G880</f>
        <v>449717.15360000002</v>
      </c>
    </row>
    <row r="880" spans="1:7" ht="24" x14ac:dyDescent="0.2">
      <c r="A880" s="84" t="s">
        <v>246</v>
      </c>
      <c r="B880" s="30" t="s">
        <v>285</v>
      </c>
      <c r="C880" s="30" t="s">
        <v>824</v>
      </c>
      <c r="D880" s="30" t="s">
        <v>214</v>
      </c>
      <c r="E880" s="30" t="s">
        <v>832</v>
      </c>
      <c r="F880" s="30" t="s">
        <v>702</v>
      </c>
      <c r="G880" s="41">
        <f>G881+G882</f>
        <v>449717.15360000002</v>
      </c>
    </row>
    <row r="881" spans="1:7" x14ac:dyDescent="0.2">
      <c r="A881" s="84" t="s">
        <v>247</v>
      </c>
      <c r="B881" s="40">
        <v>612</v>
      </c>
      <c r="C881" s="30" t="s">
        <v>824</v>
      </c>
      <c r="D881" s="30" t="s">
        <v>214</v>
      </c>
      <c r="E881" s="30" t="s">
        <v>832</v>
      </c>
      <c r="F881" s="30" t="s">
        <v>724</v>
      </c>
      <c r="G881" s="41">
        <f>460668.5+10000-44882.2464-4122-2725.1-5648.5-1619.27513</f>
        <v>411671.37847</v>
      </c>
    </row>
    <row r="882" spans="1:7" x14ac:dyDescent="0.2">
      <c r="A882" s="84" t="s">
        <v>108</v>
      </c>
      <c r="B882" s="40">
        <v>612</v>
      </c>
      <c r="C882" s="30" t="s">
        <v>824</v>
      </c>
      <c r="D882" s="30" t="s">
        <v>214</v>
      </c>
      <c r="E882" s="30" t="s">
        <v>832</v>
      </c>
      <c r="F882" s="30" t="s">
        <v>109</v>
      </c>
      <c r="G882" s="41">
        <f>32778-2000+5648.5+1619.27513</f>
        <v>38045.775130000002</v>
      </c>
    </row>
    <row r="883" spans="1:7" ht="37.5" customHeight="1" x14ac:dyDescent="0.2">
      <c r="A883" s="83" t="s">
        <v>656</v>
      </c>
      <c r="B883" s="54">
        <v>612</v>
      </c>
      <c r="C883" s="25" t="s">
        <v>824</v>
      </c>
      <c r="D883" s="25" t="s">
        <v>214</v>
      </c>
      <c r="E883" s="25" t="s">
        <v>326</v>
      </c>
      <c r="F883" s="25"/>
      <c r="G883" s="45">
        <f>G884</f>
        <v>685235.19999999995</v>
      </c>
    </row>
    <row r="884" spans="1:7" ht="24" x14ac:dyDescent="0.2">
      <c r="A884" s="84" t="s">
        <v>246</v>
      </c>
      <c r="B884" s="40">
        <v>612</v>
      </c>
      <c r="C884" s="30" t="s">
        <v>824</v>
      </c>
      <c r="D884" s="30" t="s">
        <v>214</v>
      </c>
      <c r="E884" s="30" t="s">
        <v>326</v>
      </c>
      <c r="F884" s="30" t="s">
        <v>702</v>
      </c>
      <c r="G884" s="41">
        <f>G885+G886</f>
        <v>685235.19999999995</v>
      </c>
    </row>
    <row r="885" spans="1:7" x14ac:dyDescent="0.2">
      <c r="A885" s="84" t="s">
        <v>247</v>
      </c>
      <c r="B885" s="40">
        <v>612</v>
      </c>
      <c r="C885" s="30" t="s">
        <v>824</v>
      </c>
      <c r="D885" s="30" t="s">
        <v>214</v>
      </c>
      <c r="E885" s="30" t="s">
        <v>326</v>
      </c>
      <c r="F885" s="30" t="s">
        <v>724</v>
      </c>
      <c r="G885" s="41">
        <v>643035.19999999995</v>
      </c>
    </row>
    <row r="886" spans="1:7" x14ac:dyDescent="0.2">
      <c r="A886" s="84" t="s">
        <v>108</v>
      </c>
      <c r="B886" s="40">
        <v>612</v>
      </c>
      <c r="C886" s="30" t="s">
        <v>824</v>
      </c>
      <c r="D886" s="30" t="s">
        <v>214</v>
      </c>
      <c r="E886" s="30" t="s">
        <v>326</v>
      </c>
      <c r="F886" s="30" t="s">
        <v>109</v>
      </c>
      <c r="G886" s="41">
        <v>42200</v>
      </c>
    </row>
    <row r="887" spans="1:7" ht="24" x14ac:dyDescent="0.2">
      <c r="A887" s="80" t="s">
        <v>491</v>
      </c>
      <c r="B887" s="24" t="s">
        <v>285</v>
      </c>
      <c r="C887" s="24" t="s">
        <v>824</v>
      </c>
      <c r="D887" s="24" t="s">
        <v>214</v>
      </c>
      <c r="E887" s="24" t="s">
        <v>482</v>
      </c>
      <c r="F887" s="24"/>
      <c r="G887" s="42">
        <f>G888</f>
        <v>3079.9</v>
      </c>
    </row>
    <row r="888" spans="1:7" ht="24" x14ac:dyDescent="0.2">
      <c r="A888" s="84" t="s">
        <v>246</v>
      </c>
      <c r="B888" s="30" t="s">
        <v>285</v>
      </c>
      <c r="C888" s="30" t="s">
        <v>824</v>
      </c>
      <c r="D888" s="30" t="s">
        <v>214</v>
      </c>
      <c r="E888" s="30" t="s">
        <v>482</v>
      </c>
      <c r="F888" s="30" t="s">
        <v>702</v>
      </c>
      <c r="G888" s="41">
        <f>G889</f>
        <v>3079.9</v>
      </c>
    </row>
    <row r="889" spans="1:7" x14ac:dyDescent="0.2">
      <c r="A889" s="84" t="s">
        <v>247</v>
      </c>
      <c r="B889" s="30" t="s">
        <v>285</v>
      </c>
      <c r="C889" s="30" t="s">
        <v>824</v>
      </c>
      <c r="D889" s="30" t="s">
        <v>214</v>
      </c>
      <c r="E889" s="30" t="s">
        <v>482</v>
      </c>
      <c r="F889" s="30" t="s">
        <v>724</v>
      </c>
      <c r="G889" s="41">
        <v>3079.9</v>
      </c>
    </row>
    <row r="890" spans="1:7" x14ac:dyDescent="0.2">
      <c r="A890" s="80" t="s">
        <v>675</v>
      </c>
      <c r="B890" s="43">
        <v>612</v>
      </c>
      <c r="C890" s="24" t="s">
        <v>824</v>
      </c>
      <c r="D890" s="24" t="s">
        <v>825</v>
      </c>
      <c r="E890" s="24"/>
      <c r="F890" s="25"/>
      <c r="G890" s="42">
        <f>G891</f>
        <v>1184610.8</v>
      </c>
    </row>
    <row r="891" spans="1:7" ht="27" x14ac:dyDescent="0.2">
      <c r="A891" s="86" t="s">
        <v>831</v>
      </c>
      <c r="B891" s="53" t="s">
        <v>285</v>
      </c>
      <c r="C891" s="53" t="s">
        <v>824</v>
      </c>
      <c r="D891" s="53" t="s">
        <v>825</v>
      </c>
      <c r="E891" s="53" t="s">
        <v>323</v>
      </c>
      <c r="F891" s="53"/>
      <c r="G891" s="57">
        <f>G892+G901</f>
        <v>1184610.8</v>
      </c>
    </row>
    <row r="892" spans="1:7" x14ac:dyDescent="0.2">
      <c r="A892" s="80" t="s">
        <v>445</v>
      </c>
      <c r="B892" s="24" t="s">
        <v>285</v>
      </c>
      <c r="C892" s="24" t="s">
        <v>824</v>
      </c>
      <c r="D892" s="24" t="s">
        <v>825</v>
      </c>
      <c r="E892" s="24" t="s">
        <v>324</v>
      </c>
      <c r="F892" s="24"/>
      <c r="G892" s="42">
        <f>G893+G897</f>
        <v>1164610.8</v>
      </c>
    </row>
    <row r="893" spans="1:7" ht="24" x14ac:dyDescent="0.2">
      <c r="A893" s="85" t="s">
        <v>447</v>
      </c>
      <c r="B893" s="55">
        <v>612</v>
      </c>
      <c r="C893" s="33" t="s">
        <v>824</v>
      </c>
      <c r="D893" s="33" t="s">
        <v>825</v>
      </c>
      <c r="E893" s="33" t="s">
        <v>329</v>
      </c>
      <c r="F893" s="33"/>
      <c r="G893" s="101">
        <f>G894</f>
        <v>288167.8</v>
      </c>
    </row>
    <row r="894" spans="1:7" ht="24" x14ac:dyDescent="0.2">
      <c r="A894" s="84" t="s">
        <v>246</v>
      </c>
      <c r="B894" s="40">
        <v>612</v>
      </c>
      <c r="C894" s="30" t="s">
        <v>824</v>
      </c>
      <c r="D894" s="30" t="s">
        <v>825</v>
      </c>
      <c r="E894" s="30" t="s">
        <v>833</v>
      </c>
      <c r="F894" s="30" t="s">
        <v>702</v>
      </c>
      <c r="G894" s="41">
        <f>G895+G896</f>
        <v>288167.8</v>
      </c>
    </row>
    <row r="895" spans="1:7" x14ac:dyDescent="0.2">
      <c r="A895" s="84" t="s">
        <v>247</v>
      </c>
      <c r="B895" s="40">
        <v>612</v>
      </c>
      <c r="C895" s="30" t="s">
        <v>824</v>
      </c>
      <c r="D895" s="30" t="s">
        <v>825</v>
      </c>
      <c r="E895" s="30" t="s">
        <v>833</v>
      </c>
      <c r="F895" s="30" t="s">
        <v>724</v>
      </c>
      <c r="G895" s="41">
        <f>272913.8+10000-4400</f>
        <v>278513.8</v>
      </c>
    </row>
    <row r="896" spans="1:7" x14ac:dyDescent="0.2">
      <c r="A896" s="84" t="s">
        <v>108</v>
      </c>
      <c r="B896" s="40">
        <v>612</v>
      </c>
      <c r="C896" s="30" t="s">
        <v>824</v>
      </c>
      <c r="D896" s="30" t="s">
        <v>825</v>
      </c>
      <c r="E896" s="30" t="s">
        <v>833</v>
      </c>
      <c r="F896" s="30" t="s">
        <v>109</v>
      </c>
      <c r="G896" s="41">
        <v>9654</v>
      </c>
    </row>
    <row r="897" spans="1:7" ht="52.5" customHeight="1" x14ac:dyDescent="0.2">
      <c r="A897" s="62" t="s">
        <v>664</v>
      </c>
      <c r="B897" s="25" t="s">
        <v>285</v>
      </c>
      <c r="C897" s="25" t="s">
        <v>824</v>
      </c>
      <c r="D897" s="25" t="s">
        <v>825</v>
      </c>
      <c r="E897" s="25" t="s">
        <v>448</v>
      </c>
      <c r="F897" s="25"/>
      <c r="G897" s="45">
        <f>G898</f>
        <v>876443</v>
      </c>
    </row>
    <row r="898" spans="1:7" s="48" customFormat="1" ht="24" x14ac:dyDescent="0.2">
      <c r="A898" s="84" t="s">
        <v>246</v>
      </c>
      <c r="B898" s="30" t="s">
        <v>285</v>
      </c>
      <c r="C898" s="30" t="s">
        <v>824</v>
      </c>
      <c r="D898" s="30" t="s">
        <v>825</v>
      </c>
      <c r="E898" s="30" t="s">
        <v>448</v>
      </c>
      <c r="F898" s="30" t="s">
        <v>702</v>
      </c>
      <c r="G898" s="41">
        <f>G899+G900</f>
        <v>876443</v>
      </c>
    </row>
    <row r="899" spans="1:7" x14ac:dyDescent="0.2">
      <c r="A899" s="84" t="s">
        <v>247</v>
      </c>
      <c r="B899" s="30" t="s">
        <v>285</v>
      </c>
      <c r="C899" s="30" t="s">
        <v>824</v>
      </c>
      <c r="D899" s="30" t="s">
        <v>825</v>
      </c>
      <c r="E899" s="30" t="s">
        <v>448</v>
      </c>
      <c r="F899" s="30" t="s">
        <v>724</v>
      </c>
      <c r="G899" s="41">
        <f>837118+4600</f>
        <v>841718</v>
      </c>
    </row>
    <row r="900" spans="1:7" x14ac:dyDescent="0.2">
      <c r="A900" s="84" t="s">
        <v>108</v>
      </c>
      <c r="B900" s="30" t="s">
        <v>285</v>
      </c>
      <c r="C900" s="30" t="s">
        <v>824</v>
      </c>
      <c r="D900" s="30" t="s">
        <v>825</v>
      </c>
      <c r="E900" s="30" t="s">
        <v>448</v>
      </c>
      <c r="F900" s="30" t="s">
        <v>109</v>
      </c>
      <c r="G900" s="41">
        <v>34725</v>
      </c>
    </row>
    <row r="901" spans="1:7" x14ac:dyDescent="0.2">
      <c r="A901" s="80" t="s">
        <v>461</v>
      </c>
      <c r="B901" s="24" t="s">
        <v>285</v>
      </c>
      <c r="C901" s="24" t="s">
        <v>824</v>
      </c>
      <c r="D901" s="24" t="s">
        <v>825</v>
      </c>
      <c r="E901" s="24" t="s">
        <v>332</v>
      </c>
      <c r="F901" s="24"/>
      <c r="G901" s="42">
        <f>G902</f>
        <v>20000</v>
      </c>
    </row>
    <row r="902" spans="1:7" x14ac:dyDescent="0.2">
      <c r="A902" s="123" t="s">
        <v>342</v>
      </c>
      <c r="B902" s="25" t="s">
        <v>285</v>
      </c>
      <c r="C902" s="25" t="s">
        <v>824</v>
      </c>
      <c r="D902" s="25" t="s">
        <v>825</v>
      </c>
      <c r="E902" s="25" t="s">
        <v>834</v>
      </c>
      <c r="F902" s="25"/>
      <c r="G902" s="45">
        <f>G903</f>
        <v>20000</v>
      </c>
    </row>
    <row r="903" spans="1:7" ht="24" x14ac:dyDescent="0.2">
      <c r="A903" s="84" t="s">
        <v>246</v>
      </c>
      <c r="B903" s="30" t="s">
        <v>285</v>
      </c>
      <c r="C903" s="30" t="s">
        <v>824</v>
      </c>
      <c r="D903" s="30" t="s">
        <v>825</v>
      </c>
      <c r="E903" s="30" t="s">
        <v>835</v>
      </c>
      <c r="F903" s="30" t="s">
        <v>702</v>
      </c>
      <c r="G903" s="41">
        <f>G904+G905</f>
        <v>20000</v>
      </c>
    </row>
    <row r="904" spans="1:7" x14ac:dyDescent="0.2">
      <c r="A904" s="84" t="s">
        <v>247</v>
      </c>
      <c r="B904" s="30" t="s">
        <v>285</v>
      </c>
      <c r="C904" s="30" t="s">
        <v>824</v>
      </c>
      <c r="D904" s="30" t="s">
        <v>825</v>
      </c>
      <c r="E904" s="30" t="s">
        <v>835</v>
      </c>
      <c r="F904" s="30" t="s">
        <v>724</v>
      </c>
      <c r="G904" s="41">
        <v>19142</v>
      </c>
    </row>
    <row r="905" spans="1:7" x14ac:dyDescent="0.2">
      <c r="A905" s="84" t="s">
        <v>108</v>
      </c>
      <c r="B905" s="30" t="s">
        <v>285</v>
      </c>
      <c r="C905" s="30" t="s">
        <v>824</v>
      </c>
      <c r="D905" s="30" t="s">
        <v>825</v>
      </c>
      <c r="E905" s="30" t="s">
        <v>835</v>
      </c>
      <c r="F905" s="30" t="s">
        <v>109</v>
      </c>
      <c r="G905" s="41">
        <v>858</v>
      </c>
    </row>
    <row r="906" spans="1:7" x14ac:dyDescent="0.2">
      <c r="A906" s="87" t="s">
        <v>449</v>
      </c>
      <c r="B906" s="24" t="s">
        <v>285</v>
      </c>
      <c r="C906" s="24" t="s">
        <v>824</v>
      </c>
      <c r="D906" s="24" t="s">
        <v>817</v>
      </c>
      <c r="E906" s="24"/>
      <c r="F906" s="24"/>
      <c r="G906" s="42">
        <f>G907</f>
        <v>98134.2</v>
      </c>
    </row>
    <row r="907" spans="1:7" ht="27" x14ac:dyDescent="0.2">
      <c r="A907" s="86" t="s">
        <v>831</v>
      </c>
      <c r="B907" s="53" t="s">
        <v>285</v>
      </c>
      <c r="C907" s="53" t="s">
        <v>824</v>
      </c>
      <c r="D907" s="53" t="s">
        <v>817</v>
      </c>
      <c r="E907" s="53" t="s">
        <v>323</v>
      </c>
      <c r="F907" s="33"/>
      <c r="G907" s="57">
        <f>G908</f>
        <v>98134.2</v>
      </c>
    </row>
    <row r="908" spans="1:7" x14ac:dyDescent="0.2">
      <c r="A908" s="80" t="s">
        <v>445</v>
      </c>
      <c r="B908" s="24" t="s">
        <v>285</v>
      </c>
      <c r="C908" s="24" t="s">
        <v>824</v>
      </c>
      <c r="D908" s="24" t="s">
        <v>817</v>
      </c>
      <c r="E908" s="24" t="s">
        <v>324</v>
      </c>
      <c r="F908" s="30"/>
      <c r="G908" s="42">
        <f>G909+G913</f>
        <v>98134.2</v>
      </c>
    </row>
    <row r="909" spans="1:7" ht="24" x14ac:dyDescent="0.2">
      <c r="A909" s="83" t="s">
        <v>450</v>
      </c>
      <c r="B909" s="25" t="s">
        <v>285</v>
      </c>
      <c r="C909" s="25" t="s">
        <v>824</v>
      </c>
      <c r="D909" s="25" t="s">
        <v>817</v>
      </c>
      <c r="E909" s="25" t="s">
        <v>330</v>
      </c>
      <c r="F909" s="25"/>
      <c r="G909" s="45">
        <f>G910</f>
        <v>97634.2</v>
      </c>
    </row>
    <row r="910" spans="1:7" ht="24" x14ac:dyDescent="0.2">
      <c r="A910" s="84" t="s">
        <v>246</v>
      </c>
      <c r="B910" s="30" t="s">
        <v>285</v>
      </c>
      <c r="C910" s="30" t="s">
        <v>824</v>
      </c>
      <c r="D910" s="30" t="s">
        <v>817</v>
      </c>
      <c r="E910" s="30" t="s">
        <v>836</v>
      </c>
      <c r="F910" s="30" t="s">
        <v>702</v>
      </c>
      <c r="G910" s="41">
        <f>G911+G912</f>
        <v>97634.2</v>
      </c>
    </row>
    <row r="911" spans="1:7" x14ac:dyDescent="0.2">
      <c r="A911" s="84" t="s">
        <v>247</v>
      </c>
      <c r="B911" s="40">
        <v>612</v>
      </c>
      <c r="C911" s="30" t="s">
        <v>824</v>
      </c>
      <c r="D911" s="30" t="s">
        <v>817</v>
      </c>
      <c r="E911" s="30" t="s">
        <v>836</v>
      </c>
      <c r="F911" s="30" t="s">
        <v>724</v>
      </c>
      <c r="G911" s="41">
        <v>2873</v>
      </c>
    </row>
    <row r="912" spans="1:7" x14ac:dyDescent="0.2">
      <c r="A912" s="84" t="s">
        <v>108</v>
      </c>
      <c r="B912" s="40">
        <v>612</v>
      </c>
      <c r="C912" s="30" t="s">
        <v>824</v>
      </c>
      <c r="D912" s="30" t="s">
        <v>817</v>
      </c>
      <c r="E912" s="30" t="s">
        <v>836</v>
      </c>
      <c r="F912" s="30" t="s">
        <v>109</v>
      </c>
      <c r="G912" s="41">
        <v>94761.2</v>
      </c>
    </row>
    <row r="913" spans="1:7" ht="24" x14ac:dyDescent="0.2">
      <c r="A913" s="80" t="s">
        <v>481</v>
      </c>
      <c r="B913" s="24" t="s">
        <v>285</v>
      </c>
      <c r="C913" s="24" t="s">
        <v>824</v>
      </c>
      <c r="D913" s="24" t="s">
        <v>817</v>
      </c>
      <c r="E913" s="24" t="s">
        <v>482</v>
      </c>
      <c r="F913" s="24"/>
      <c r="G913" s="42">
        <f>G914</f>
        <v>500</v>
      </c>
    </row>
    <row r="914" spans="1:7" ht="24" x14ac:dyDescent="0.2">
      <c r="A914" s="84" t="s">
        <v>246</v>
      </c>
      <c r="B914" s="30" t="s">
        <v>285</v>
      </c>
      <c r="C914" s="30" t="s">
        <v>824</v>
      </c>
      <c r="D914" s="30" t="s">
        <v>817</v>
      </c>
      <c r="E914" s="30" t="s">
        <v>482</v>
      </c>
      <c r="F914" s="30" t="s">
        <v>702</v>
      </c>
      <c r="G914" s="41">
        <f>G915</f>
        <v>500</v>
      </c>
    </row>
    <row r="915" spans="1:7" x14ac:dyDescent="0.2">
      <c r="A915" s="84" t="s">
        <v>108</v>
      </c>
      <c r="B915" s="30" t="s">
        <v>285</v>
      </c>
      <c r="C915" s="30" t="s">
        <v>824</v>
      </c>
      <c r="D915" s="30" t="s">
        <v>817</v>
      </c>
      <c r="E915" s="30" t="s">
        <v>482</v>
      </c>
      <c r="F915" s="30" t="s">
        <v>109</v>
      </c>
      <c r="G915" s="41">
        <v>500</v>
      </c>
    </row>
    <row r="916" spans="1:7" x14ac:dyDescent="0.2">
      <c r="A916" s="80" t="s">
        <v>676</v>
      </c>
      <c r="B916" s="24" t="s">
        <v>285</v>
      </c>
      <c r="C916" s="24" t="s">
        <v>824</v>
      </c>
      <c r="D916" s="24" t="s">
        <v>824</v>
      </c>
      <c r="E916" s="24"/>
      <c r="F916" s="24"/>
      <c r="G916" s="42">
        <f>G917</f>
        <v>453</v>
      </c>
    </row>
    <row r="917" spans="1:7" x14ac:dyDescent="0.2">
      <c r="A917" s="81" t="s">
        <v>212</v>
      </c>
      <c r="B917" s="25" t="s">
        <v>285</v>
      </c>
      <c r="C917" s="25" t="s">
        <v>824</v>
      </c>
      <c r="D917" s="25" t="s">
        <v>824</v>
      </c>
      <c r="E917" s="25" t="s">
        <v>382</v>
      </c>
      <c r="F917" s="25"/>
      <c r="G917" s="45">
        <f>G918</f>
        <v>453</v>
      </c>
    </row>
    <row r="918" spans="1:7" x14ac:dyDescent="0.2">
      <c r="A918" s="82" t="s">
        <v>476</v>
      </c>
      <c r="B918" s="24" t="s">
        <v>285</v>
      </c>
      <c r="C918" s="24" t="s">
        <v>824</v>
      </c>
      <c r="D918" s="24" t="s">
        <v>824</v>
      </c>
      <c r="E918" s="24" t="s">
        <v>383</v>
      </c>
      <c r="F918" s="24"/>
      <c r="G918" s="42">
        <f>G919</f>
        <v>453</v>
      </c>
    </row>
    <row r="919" spans="1:7" x14ac:dyDescent="0.2">
      <c r="A919" s="81" t="s">
        <v>514</v>
      </c>
      <c r="B919" s="25" t="s">
        <v>285</v>
      </c>
      <c r="C919" s="25" t="s">
        <v>824</v>
      </c>
      <c r="D919" s="25" t="s">
        <v>824</v>
      </c>
      <c r="E919" s="25" t="s">
        <v>42</v>
      </c>
      <c r="F919" s="25"/>
      <c r="G919" s="45">
        <f>G920</f>
        <v>453</v>
      </c>
    </row>
    <row r="920" spans="1:7" ht="24" x14ac:dyDescent="0.2">
      <c r="A920" s="84" t="s">
        <v>246</v>
      </c>
      <c r="B920" s="30" t="s">
        <v>285</v>
      </c>
      <c r="C920" s="30" t="s">
        <v>824</v>
      </c>
      <c r="D920" s="30" t="s">
        <v>824</v>
      </c>
      <c r="E920" s="30" t="s">
        <v>42</v>
      </c>
      <c r="F920" s="30" t="s">
        <v>702</v>
      </c>
      <c r="G920" s="41">
        <f>G921</f>
        <v>453</v>
      </c>
    </row>
    <row r="921" spans="1:7" x14ac:dyDescent="0.2">
      <c r="A921" s="84" t="s">
        <v>247</v>
      </c>
      <c r="B921" s="30" t="s">
        <v>285</v>
      </c>
      <c r="C921" s="30" t="s">
        <v>824</v>
      </c>
      <c r="D921" s="30" t="s">
        <v>824</v>
      </c>
      <c r="E921" s="30" t="s">
        <v>42</v>
      </c>
      <c r="F921" s="30" t="s">
        <v>724</v>
      </c>
      <c r="G921" s="41">
        <v>453</v>
      </c>
    </row>
    <row r="922" spans="1:7" x14ac:dyDescent="0.2">
      <c r="A922" s="80" t="s">
        <v>677</v>
      </c>
      <c r="B922" s="24" t="s">
        <v>285</v>
      </c>
      <c r="C922" s="24" t="s">
        <v>824</v>
      </c>
      <c r="D922" s="24" t="s">
        <v>818</v>
      </c>
      <c r="E922" s="24"/>
      <c r="F922" s="30"/>
      <c r="G922" s="42">
        <f>G923</f>
        <v>122918</v>
      </c>
    </row>
    <row r="923" spans="1:7" ht="27" x14ac:dyDescent="0.2">
      <c r="A923" s="86" t="s">
        <v>831</v>
      </c>
      <c r="B923" s="53" t="s">
        <v>285</v>
      </c>
      <c r="C923" s="53" t="s">
        <v>824</v>
      </c>
      <c r="D923" s="53" t="s">
        <v>818</v>
      </c>
      <c r="E923" s="53" t="s">
        <v>323</v>
      </c>
      <c r="F923" s="30"/>
      <c r="G923" s="57">
        <f>G924+G933+G954</f>
        <v>122918</v>
      </c>
    </row>
    <row r="924" spans="1:7" x14ac:dyDescent="0.2">
      <c r="A924" s="80" t="s">
        <v>445</v>
      </c>
      <c r="B924" s="24" t="s">
        <v>285</v>
      </c>
      <c r="C924" s="24" t="s">
        <v>824</v>
      </c>
      <c r="D924" s="24" t="s">
        <v>818</v>
      </c>
      <c r="E924" s="24" t="s">
        <v>324</v>
      </c>
      <c r="F924" s="24"/>
      <c r="G924" s="42">
        <f>G925+G929</f>
        <v>107172</v>
      </c>
    </row>
    <row r="925" spans="1:7" ht="24" x14ac:dyDescent="0.2">
      <c r="A925" s="83" t="s">
        <v>452</v>
      </c>
      <c r="B925" s="25" t="s">
        <v>285</v>
      </c>
      <c r="C925" s="25" t="s">
        <v>824</v>
      </c>
      <c r="D925" s="25" t="s">
        <v>818</v>
      </c>
      <c r="E925" s="25" t="s">
        <v>451</v>
      </c>
      <c r="F925" s="25"/>
      <c r="G925" s="45">
        <f>G926</f>
        <v>10000</v>
      </c>
    </row>
    <row r="926" spans="1:7" ht="24" x14ac:dyDescent="0.2">
      <c r="A926" s="84" t="s">
        <v>246</v>
      </c>
      <c r="B926" s="30" t="s">
        <v>285</v>
      </c>
      <c r="C926" s="30" t="s">
        <v>824</v>
      </c>
      <c r="D926" s="30" t="s">
        <v>818</v>
      </c>
      <c r="E926" s="30" t="s">
        <v>837</v>
      </c>
      <c r="F926" s="30" t="s">
        <v>702</v>
      </c>
      <c r="G926" s="41">
        <f>G927+G928</f>
        <v>10000</v>
      </c>
    </row>
    <row r="927" spans="1:7" x14ac:dyDescent="0.2">
      <c r="A927" s="84" t="s">
        <v>247</v>
      </c>
      <c r="B927" s="40">
        <v>612</v>
      </c>
      <c r="C927" s="30" t="s">
        <v>824</v>
      </c>
      <c r="D927" s="30" t="s">
        <v>818</v>
      </c>
      <c r="E927" s="30" t="s">
        <v>837</v>
      </c>
      <c r="F927" s="30" t="s">
        <v>724</v>
      </c>
      <c r="G927" s="41">
        <v>9800</v>
      </c>
    </row>
    <row r="928" spans="1:7" x14ac:dyDescent="0.2">
      <c r="A928" s="84" t="s">
        <v>108</v>
      </c>
      <c r="B928" s="40">
        <v>612</v>
      </c>
      <c r="C928" s="30" t="s">
        <v>824</v>
      </c>
      <c r="D928" s="30" t="s">
        <v>818</v>
      </c>
      <c r="E928" s="30" t="s">
        <v>837</v>
      </c>
      <c r="F928" s="30" t="s">
        <v>109</v>
      </c>
      <c r="G928" s="41">
        <v>200</v>
      </c>
    </row>
    <row r="929" spans="1:7" ht="24" x14ac:dyDescent="0.2">
      <c r="A929" s="83" t="s">
        <v>459</v>
      </c>
      <c r="B929" s="55">
        <v>612</v>
      </c>
      <c r="C929" s="33" t="s">
        <v>824</v>
      </c>
      <c r="D929" s="33" t="s">
        <v>818</v>
      </c>
      <c r="E929" s="25" t="s">
        <v>453</v>
      </c>
      <c r="F929" s="25"/>
      <c r="G929" s="45">
        <f>G930</f>
        <v>97172</v>
      </c>
    </row>
    <row r="930" spans="1:7" ht="24" x14ac:dyDescent="0.2">
      <c r="A930" s="84" t="s">
        <v>246</v>
      </c>
      <c r="B930" s="30" t="s">
        <v>285</v>
      </c>
      <c r="C930" s="30" t="s">
        <v>824</v>
      </c>
      <c r="D930" s="30" t="s">
        <v>818</v>
      </c>
      <c r="E930" s="30" t="s">
        <v>838</v>
      </c>
      <c r="F930" s="30" t="s">
        <v>702</v>
      </c>
      <c r="G930" s="41">
        <f>G931+G932</f>
        <v>97172</v>
      </c>
    </row>
    <row r="931" spans="1:7" x14ac:dyDescent="0.2">
      <c r="A931" s="84" t="s">
        <v>247</v>
      </c>
      <c r="B931" s="40">
        <v>612</v>
      </c>
      <c r="C931" s="30" t="s">
        <v>824</v>
      </c>
      <c r="D931" s="30" t="s">
        <v>818</v>
      </c>
      <c r="E931" s="30" t="s">
        <v>838</v>
      </c>
      <c r="F931" s="30" t="s">
        <v>724</v>
      </c>
      <c r="G931" s="41">
        <f>95308.55-2388.5-3885</f>
        <v>89035.05</v>
      </c>
    </row>
    <row r="932" spans="1:7" x14ac:dyDescent="0.2">
      <c r="A932" s="84" t="s">
        <v>108</v>
      </c>
      <c r="B932" s="40">
        <v>612</v>
      </c>
      <c r="C932" s="30" t="s">
        <v>824</v>
      </c>
      <c r="D932" s="30" t="s">
        <v>818</v>
      </c>
      <c r="E932" s="30" t="s">
        <v>838</v>
      </c>
      <c r="F932" s="30" t="s">
        <v>109</v>
      </c>
      <c r="G932" s="41">
        <f>6028.45+2388.5-280</f>
        <v>8136.9500000000007</v>
      </c>
    </row>
    <row r="933" spans="1:7" x14ac:dyDescent="0.2">
      <c r="A933" s="80" t="s">
        <v>790</v>
      </c>
      <c r="B933" s="24" t="s">
        <v>285</v>
      </c>
      <c r="C933" s="24" t="s">
        <v>824</v>
      </c>
      <c r="D933" s="24" t="s">
        <v>818</v>
      </c>
      <c r="E933" s="24" t="s">
        <v>331</v>
      </c>
      <c r="F933" s="24"/>
      <c r="G933" s="42">
        <f>G934+G942+G947</f>
        <v>6120</v>
      </c>
    </row>
    <row r="934" spans="1:7" ht="25.5" x14ac:dyDescent="0.2">
      <c r="A934" s="68" t="s">
        <v>334</v>
      </c>
      <c r="B934" s="24" t="s">
        <v>285</v>
      </c>
      <c r="C934" s="24" t="s">
        <v>824</v>
      </c>
      <c r="D934" s="24" t="s">
        <v>818</v>
      </c>
      <c r="E934" s="24" t="s">
        <v>289</v>
      </c>
      <c r="F934" s="25"/>
      <c r="G934" s="42">
        <f>G935</f>
        <v>3935</v>
      </c>
    </row>
    <row r="935" spans="1:7" x14ac:dyDescent="0.2">
      <c r="A935" s="85" t="s">
        <v>819</v>
      </c>
      <c r="B935" s="55">
        <v>612</v>
      </c>
      <c r="C935" s="33" t="s">
        <v>824</v>
      </c>
      <c r="D935" s="33" t="s">
        <v>818</v>
      </c>
      <c r="E935" s="33" t="s">
        <v>839</v>
      </c>
      <c r="F935" s="33"/>
      <c r="G935" s="101">
        <f>G936+G938+G940</f>
        <v>3935</v>
      </c>
    </row>
    <row r="936" spans="1:7" ht="36" x14ac:dyDescent="0.2">
      <c r="A936" s="84" t="s">
        <v>217</v>
      </c>
      <c r="B936" s="40">
        <v>612</v>
      </c>
      <c r="C936" s="30" t="s">
        <v>824</v>
      </c>
      <c r="D936" s="30" t="s">
        <v>818</v>
      </c>
      <c r="E936" s="30" t="s">
        <v>839</v>
      </c>
      <c r="F936" s="30" t="s">
        <v>218</v>
      </c>
      <c r="G936" s="41">
        <f>G937</f>
        <v>3750</v>
      </c>
    </row>
    <row r="937" spans="1:7" x14ac:dyDescent="0.2">
      <c r="A937" s="84" t="s">
        <v>820</v>
      </c>
      <c r="B937" s="40">
        <v>612</v>
      </c>
      <c r="C937" s="30" t="s">
        <v>824</v>
      </c>
      <c r="D937" s="30" t="s">
        <v>818</v>
      </c>
      <c r="E937" s="30" t="s">
        <v>839</v>
      </c>
      <c r="F937" s="30" t="s">
        <v>821</v>
      </c>
      <c r="G937" s="41">
        <f>2765+835+150</f>
        <v>3750</v>
      </c>
    </row>
    <row r="938" spans="1:7" x14ac:dyDescent="0.2">
      <c r="A938" s="84" t="s">
        <v>473</v>
      </c>
      <c r="B938" s="40">
        <v>612</v>
      </c>
      <c r="C938" s="30" t="s">
        <v>824</v>
      </c>
      <c r="D938" s="30" t="s">
        <v>818</v>
      </c>
      <c r="E938" s="30" t="s">
        <v>839</v>
      </c>
      <c r="F938" s="30" t="s">
        <v>226</v>
      </c>
      <c r="G938" s="41">
        <f>G939</f>
        <v>180</v>
      </c>
    </row>
    <row r="939" spans="1:7" ht="15" customHeight="1" x14ac:dyDescent="0.2">
      <c r="A939" s="84" t="s">
        <v>227</v>
      </c>
      <c r="B939" s="40">
        <v>612</v>
      </c>
      <c r="C939" s="30" t="s">
        <v>824</v>
      </c>
      <c r="D939" s="30" t="s">
        <v>818</v>
      </c>
      <c r="E939" s="30" t="s">
        <v>839</v>
      </c>
      <c r="F939" s="30" t="s">
        <v>228</v>
      </c>
      <c r="G939" s="41">
        <v>180</v>
      </c>
    </row>
    <row r="940" spans="1:7" x14ac:dyDescent="0.2">
      <c r="A940" s="84" t="s">
        <v>229</v>
      </c>
      <c r="B940" s="40">
        <v>612</v>
      </c>
      <c r="C940" s="30" t="s">
        <v>824</v>
      </c>
      <c r="D940" s="30" t="s">
        <v>818</v>
      </c>
      <c r="E940" s="30" t="s">
        <v>839</v>
      </c>
      <c r="F940" s="30" t="s">
        <v>230</v>
      </c>
      <c r="G940" s="103">
        <f>G941</f>
        <v>5</v>
      </c>
    </row>
    <row r="941" spans="1:7" x14ac:dyDescent="0.2">
      <c r="A941" s="84" t="s">
        <v>311</v>
      </c>
      <c r="B941" s="40">
        <v>612</v>
      </c>
      <c r="C941" s="30" t="s">
        <v>824</v>
      </c>
      <c r="D941" s="30" t="s">
        <v>818</v>
      </c>
      <c r="E941" s="30" t="s">
        <v>839</v>
      </c>
      <c r="F941" s="30" t="s">
        <v>231</v>
      </c>
      <c r="G941" s="103">
        <v>5</v>
      </c>
    </row>
    <row r="942" spans="1:7" ht="28.5" customHeight="1" x14ac:dyDescent="0.2">
      <c r="A942" s="123" t="s">
        <v>460</v>
      </c>
      <c r="B942" s="25" t="s">
        <v>285</v>
      </c>
      <c r="C942" s="25" t="s">
        <v>824</v>
      </c>
      <c r="D942" s="25" t="s">
        <v>818</v>
      </c>
      <c r="E942" s="25" t="s">
        <v>840</v>
      </c>
      <c r="F942" s="25"/>
      <c r="G942" s="45">
        <f>G943+G945</f>
        <v>1635</v>
      </c>
    </row>
    <row r="943" spans="1:7" ht="36" x14ac:dyDescent="0.2">
      <c r="A943" s="84" t="s">
        <v>217</v>
      </c>
      <c r="B943" s="40">
        <v>612</v>
      </c>
      <c r="C943" s="30" t="s">
        <v>824</v>
      </c>
      <c r="D943" s="30" t="s">
        <v>818</v>
      </c>
      <c r="E943" s="30" t="s">
        <v>840</v>
      </c>
      <c r="F943" s="30" t="s">
        <v>218</v>
      </c>
      <c r="G943" s="41">
        <f>G944</f>
        <v>325</v>
      </c>
    </row>
    <row r="944" spans="1:7" x14ac:dyDescent="0.2">
      <c r="A944" s="84" t="s">
        <v>820</v>
      </c>
      <c r="B944" s="40">
        <v>612</v>
      </c>
      <c r="C944" s="30" t="s">
        <v>824</v>
      </c>
      <c r="D944" s="30" t="s">
        <v>818</v>
      </c>
      <c r="E944" s="30" t="s">
        <v>840</v>
      </c>
      <c r="F944" s="30" t="s">
        <v>821</v>
      </c>
      <c r="G944" s="41">
        <f>250+75</f>
        <v>325</v>
      </c>
    </row>
    <row r="945" spans="1:7" x14ac:dyDescent="0.2">
      <c r="A945" s="84" t="s">
        <v>473</v>
      </c>
      <c r="B945" s="40">
        <v>612</v>
      </c>
      <c r="C945" s="30" t="s">
        <v>824</v>
      </c>
      <c r="D945" s="30" t="s">
        <v>818</v>
      </c>
      <c r="E945" s="30" t="s">
        <v>840</v>
      </c>
      <c r="F945" s="30" t="s">
        <v>226</v>
      </c>
      <c r="G945" s="41">
        <f>G946</f>
        <v>1310</v>
      </c>
    </row>
    <row r="946" spans="1:7" ht="15" customHeight="1" x14ac:dyDescent="0.2">
      <c r="A946" s="84" t="s">
        <v>227</v>
      </c>
      <c r="B946" s="40">
        <v>612</v>
      </c>
      <c r="C946" s="30" t="s">
        <v>824</v>
      </c>
      <c r="D946" s="30" t="s">
        <v>818</v>
      </c>
      <c r="E946" s="30" t="s">
        <v>840</v>
      </c>
      <c r="F946" s="30" t="s">
        <v>228</v>
      </c>
      <c r="G946" s="41">
        <f>1535-150-75</f>
        <v>1310</v>
      </c>
    </row>
    <row r="947" spans="1:7" ht="37.5" customHeight="1" x14ac:dyDescent="0.2">
      <c r="A947" s="105" t="s">
        <v>788</v>
      </c>
      <c r="B947" s="33" t="s">
        <v>285</v>
      </c>
      <c r="C947" s="33" t="s">
        <v>824</v>
      </c>
      <c r="D947" s="33" t="s">
        <v>818</v>
      </c>
      <c r="E947" s="33" t="s">
        <v>841</v>
      </c>
      <c r="F947" s="33"/>
      <c r="G947" s="101">
        <f>G948+G950+G952</f>
        <v>550</v>
      </c>
    </row>
    <row r="948" spans="1:7" ht="36" x14ac:dyDescent="0.2">
      <c r="A948" s="84" t="s">
        <v>217</v>
      </c>
      <c r="B948" s="40">
        <v>612</v>
      </c>
      <c r="C948" s="30" t="s">
        <v>824</v>
      </c>
      <c r="D948" s="30" t="s">
        <v>818</v>
      </c>
      <c r="E948" s="30" t="s">
        <v>841</v>
      </c>
      <c r="F948" s="30" t="s">
        <v>218</v>
      </c>
      <c r="G948" s="41">
        <f>G949</f>
        <v>204.8</v>
      </c>
    </row>
    <row r="949" spans="1:7" x14ac:dyDescent="0.2">
      <c r="A949" s="84" t="s">
        <v>820</v>
      </c>
      <c r="B949" s="40">
        <v>612</v>
      </c>
      <c r="C949" s="30" t="s">
        <v>824</v>
      </c>
      <c r="D949" s="30" t="s">
        <v>818</v>
      </c>
      <c r="E949" s="30" t="s">
        <v>841</v>
      </c>
      <c r="F949" s="30" t="s">
        <v>821</v>
      </c>
      <c r="G949" s="41">
        <f>250-45.2</f>
        <v>204.8</v>
      </c>
    </row>
    <row r="950" spans="1:7" x14ac:dyDescent="0.2">
      <c r="A950" s="84" t="s">
        <v>473</v>
      </c>
      <c r="B950" s="40">
        <v>612</v>
      </c>
      <c r="C950" s="30" t="s">
        <v>824</v>
      </c>
      <c r="D950" s="30" t="s">
        <v>818</v>
      </c>
      <c r="E950" s="30" t="s">
        <v>841</v>
      </c>
      <c r="F950" s="30" t="s">
        <v>226</v>
      </c>
      <c r="G950" s="41">
        <f>G951</f>
        <v>204.88</v>
      </c>
    </row>
    <row r="951" spans="1:7" ht="15" customHeight="1" x14ac:dyDescent="0.2">
      <c r="A951" s="84" t="s">
        <v>227</v>
      </c>
      <c r="B951" s="40">
        <v>612</v>
      </c>
      <c r="C951" s="30" t="s">
        <v>824</v>
      </c>
      <c r="D951" s="30" t="s">
        <v>818</v>
      </c>
      <c r="E951" s="30" t="s">
        <v>841</v>
      </c>
      <c r="F951" s="30" t="s">
        <v>228</v>
      </c>
      <c r="G951" s="41">
        <f>300-95.12</f>
        <v>204.88</v>
      </c>
    </row>
    <row r="952" spans="1:7" x14ac:dyDescent="0.2">
      <c r="A952" s="84" t="s">
        <v>237</v>
      </c>
      <c r="B952" s="40">
        <v>612</v>
      </c>
      <c r="C952" s="30" t="s">
        <v>824</v>
      </c>
      <c r="D952" s="30" t="s">
        <v>818</v>
      </c>
      <c r="E952" s="30" t="s">
        <v>841</v>
      </c>
      <c r="F952" s="30" t="s">
        <v>236</v>
      </c>
      <c r="G952" s="41">
        <f>G953</f>
        <v>140.32</v>
      </c>
    </row>
    <row r="953" spans="1:7" ht="12.75" customHeight="1" x14ac:dyDescent="0.2">
      <c r="A953" s="84" t="s">
        <v>503</v>
      </c>
      <c r="B953" s="40">
        <v>612</v>
      </c>
      <c r="C953" s="30" t="s">
        <v>824</v>
      </c>
      <c r="D953" s="30" t="s">
        <v>818</v>
      </c>
      <c r="E953" s="30" t="s">
        <v>841</v>
      </c>
      <c r="F953" s="30" t="s">
        <v>504</v>
      </c>
      <c r="G953" s="41">
        <f>95.12+45.2</f>
        <v>140.32</v>
      </c>
    </row>
    <row r="954" spans="1:7" ht="24" x14ac:dyDescent="0.2">
      <c r="A954" s="75" t="s">
        <v>761</v>
      </c>
      <c r="B954" s="43">
        <v>612</v>
      </c>
      <c r="C954" s="24" t="s">
        <v>824</v>
      </c>
      <c r="D954" s="24" t="s">
        <v>818</v>
      </c>
      <c r="E954" s="24" t="s">
        <v>333</v>
      </c>
      <c r="F954" s="24"/>
      <c r="G954" s="42">
        <f>G955</f>
        <v>9626</v>
      </c>
    </row>
    <row r="955" spans="1:7" ht="25.5" x14ac:dyDescent="0.2">
      <c r="A955" s="68" t="s">
        <v>340</v>
      </c>
      <c r="B955" s="43">
        <v>612</v>
      </c>
      <c r="C955" s="24" t="s">
        <v>824</v>
      </c>
      <c r="D955" s="24" t="s">
        <v>818</v>
      </c>
      <c r="E955" s="24" t="s">
        <v>333</v>
      </c>
      <c r="F955" s="24"/>
      <c r="G955" s="42">
        <f>G956</f>
        <v>9626</v>
      </c>
    </row>
    <row r="956" spans="1:7" ht="24" x14ac:dyDescent="0.2">
      <c r="A956" s="83" t="s">
        <v>704</v>
      </c>
      <c r="B956" s="25" t="s">
        <v>285</v>
      </c>
      <c r="C956" s="25" t="s">
        <v>824</v>
      </c>
      <c r="D956" s="25" t="s">
        <v>818</v>
      </c>
      <c r="E956" s="25" t="s">
        <v>333</v>
      </c>
      <c r="F956" s="25"/>
      <c r="G956" s="45">
        <f>G957+G960</f>
        <v>9626</v>
      </c>
    </row>
    <row r="957" spans="1:7" x14ac:dyDescent="0.2">
      <c r="A957" s="82" t="s">
        <v>685</v>
      </c>
      <c r="B957" s="24" t="s">
        <v>285</v>
      </c>
      <c r="C957" s="24" t="s">
        <v>824</v>
      </c>
      <c r="D957" s="24" t="s">
        <v>818</v>
      </c>
      <c r="E957" s="24" t="s">
        <v>464</v>
      </c>
      <c r="F957" s="24"/>
      <c r="G957" s="42">
        <f>G958</f>
        <v>9114</v>
      </c>
    </row>
    <row r="958" spans="1:7" ht="36" x14ac:dyDescent="0.2">
      <c r="A958" s="84" t="s">
        <v>217</v>
      </c>
      <c r="B958" s="30" t="s">
        <v>285</v>
      </c>
      <c r="C958" s="30" t="s">
        <v>824</v>
      </c>
      <c r="D958" s="30" t="s">
        <v>818</v>
      </c>
      <c r="E958" s="30" t="s">
        <v>464</v>
      </c>
      <c r="F958" s="30" t="s">
        <v>218</v>
      </c>
      <c r="G958" s="41">
        <f>G959</f>
        <v>9114</v>
      </c>
    </row>
    <row r="959" spans="1:7" x14ac:dyDescent="0.2">
      <c r="A959" s="84" t="s">
        <v>219</v>
      </c>
      <c r="B959" s="30" t="s">
        <v>285</v>
      </c>
      <c r="C959" s="30" t="s">
        <v>824</v>
      </c>
      <c r="D959" s="30" t="s">
        <v>818</v>
      </c>
      <c r="E959" s="30" t="s">
        <v>464</v>
      </c>
      <c r="F959" s="30" t="s">
        <v>224</v>
      </c>
      <c r="G959" s="41">
        <f>7000+2114</f>
        <v>9114</v>
      </c>
    </row>
    <row r="960" spans="1:7" x14ac:dyDescent="0.2">
      <c r="A960" s="80" t="s">
        <v>225</v>
      </c>
      <c r="B960" s="24" t="s">
        <v>285</v>
      </c>
      <c r="C960" s="24" t="s">
        <v>824</v>
      </c>
      <c r="D960" s="24" t="s">
        <v>818</v>
      </c>
      <c r="E960" s="24" t="s">
        <v>465</v>
      </c>
      <c r="F960" s="24"/>
      <c r="G960" s="42">
        <f>G961+G963</f>
        <v>512</v>
      </c>
    </row>
    <row r="961" spans="1:7" x14ac:dyDescent="0.2">
      <c r="A961" s="84" t="s">
        <v>473</v>
      </c>
      <c r="B961" s="30" t="s">
        <v>285</v>
      </c>
      <c r="C961" s="30" t="s">
        <v>824</v>
      </c>
      <c r="D961" s="30" t="s">
        <v>818</v>
      </c>
      <c r="E961" s="30" t="s">
        <v>465</v>
      </c>
      <c r="F961" s="30" t="s">
        <v>226</v>
      </c>
      <c r="G961" s="41">
        <f>G962</f>
        <v>497</v>
      </c>
    </row>
    <row r="962" spans="1:7" ht="15" customHeight="1" x14ac:dyDescent="0.2">
      <c r="A962" s="84" t="s">
        <v>227</v>
      </c>
      <c r="B962" s="30" t="s">
        <v>285</v>
      </c>
      <c r="C962" s="30" t="s">
        <v>824</v>
      </c>
      <c r="D962" s="30" t="s">
        <v>818</v>
      </c>
      <c r="E962" s="30" t="s">
        <v>465</v>
      </c>
      <c r="F962" s="30" t="s">
        <v>228</v>
      </c>
      <c r="G962" s="41">
        <v>497</v>
      </c>
    </row>
    <row r="963" spans="1:7" x14ac:dyDescent="0.2">
      <c r="A963" s="84" t="s">
        <v>229</v>
      </c>
      <c r="B963" s="30" t="s">
        <v>285</v>
      </c>
      <c r="C963" s="30" t="s">
        <v>824</v>
      </c>
      <c r="D963" s="30" t="s">
        <v>818</v>
      </c>
      <c r="E963" s="30" t="s">
        <v>465</v>
      </c>
      <c r="F963" s="30" t="s">
        <v>230</v>
      </c>
      <c r="G963" s="41">
        <f>G964</f>
        <v>15</v>
      </c>
    </row>
    <row r="964" spans="1:7" x14ac:dyDescent="0.2">
      <c r="A964" s="84" t="s">
        <v>106</v>
      </c>
      <c r="B964" s="30" t="s">
        <v>285</v>
      </c>
      <c r="C964" s="30" t="s">
        <v>824</v>
      </c>
      <c r="D964" s="30" t="s">
        <v>818</v>
      </c>
      <c r="E964" s="30" t="s">
        <v>465</v>
      </c>
      <c r="F964" s="30" t="s">
        <v>231</v>
      </c>
      <c r="G964" s="41">
        <v>15</v>
      </c>
    </row>
    <row r="965" spans="1:7" x14ac:dyDescent="0.2">
      <c r="A965" s="80" t="s">
        <v>700</v>
      </c>
      <c r="B965" s="24" t="s">
        <v>285</v>
      </c>
      <c r="C965" s="24" t="s">
        <v>107</v>
      </c>
      <c r="D965" s="24" t="s">
        <v>215</v>
      </c>
      <c r="E965" s="24"/>
      <c r="F965" s="24"/>
      <c r="G965" s="42">
        <f>G966+G976</f>
        <v>23688.079999999998</v>
      </c>
    </row>
    <row r="966" spans="1:7" x14ac:dyDescent="0.2">
      <c r="A966" s="80" t="s">
        <v>687</v>
      </c>
      <c r="B966" s="24" t="s">
        <v>285</v>
      </c>
      <c r="C966" s="24" t="s">
        <v>107</v>
      </c>
      <c r="D966" s="24" t="s">
        <v>817</v>
      </c>
      <c r="E966" s="24"/>
      <c r="F966" s="24"/>
      <c r="G966" s="42">
        <f>G967</f>
        <v>10188.079999999998</v>
      </c>
    </row>
    <row r="967" spans="1:7" ht="27" x14ac:dyDescent="0.2">
      <c r="A967" s="86" t="s">
        <v>831</v>
      </c>
      <c r="B967" s="53" t="s">
        <v>285</v>
      </c>
      <c r="C967" s="53" t="s">
        <v>107</v>
      </c>
      <c r="D967" s="53" t="s">
        <v>817</v>
      </c>
      <c r="E967" s="53" t="s">
        <v>323</v>
      </c>
      <c r="F967" s="53"/>
      <c r="G967" s="57">
        <f>G968</f>
        <v>10188.079999999998</v>
      </c>
    </row>
    <row r="968" spans="1:7" x14ac:dyDescent="0.2">
      <c r="A968" s="80" t="s">
        <v>461</v>
      </c>
      <c r="B968" s="24" t="s">
        <v>285</v>
      </c>
      <c r="C968" s="24" t="s">
        <v>107</v>
      </c>
      <c r="D968" s="24" t="s">
        <v>817</v>
      </c>
      <c r="E968" s="24" t="s">
        <v>332</v>
      </c>
      <c r="F968" s="24"/>
      <c r="G968" s="42">
        <f>G969+G973</f>
        <v>10188.079999999998</v>
      </c>
    </row>
    <row r="969" spans="1:7" ht="36" x14ac:dyDescent="0.2">
      <c r="A969" s="83" t="s">
        <v>299</v>
      </c>
      <c r="B969" s="25" t="s">
        <v>285</v>
      </c>
      <c r="C969" s="25" t="s">
        <v>107</v>
      </c>
      <c r="D969" s="25" t="s">
        <v>817</v>
      </c>
      <c r="E969" s="25" t="s">
        <v>463</v>
      </c>
      <c r="F969" s="25"/>
      <c r="G969" s="45">
        <f>G970</f>
        <v>9588.0799999999981</v>
      </c>
    </row>
    <row r="970" spans="1:7" ht="24" x14ac:dyDescent="0.2">
      <c r="A970" s="84" t="s">
        <v>246</v>
      </c>
      <c r="B970" s="30" t="s">
        <v>285</v>
      </c>
      <c r="C970" s="30" t="s">
        <v>107</v>
      </c>
      <c r="D970" s="30" t="s">
        <v>817</v>
      </c>
      <c r="E970" s="30" t="s">
        <v>463</v>
      </c>
      <c r="F970" s="30" t="s">
        <v>702</v>
      </c>
      <c r="G970" s="41">
        <f>G971+G972</f>
        <v>9588.0799999999981</v>
      </c>
    </row>
    <row r="971" spans="1:7" x14ac:dyDescent="0.2">
      <c r="A971" s="84" t="s">
        <v>247</v>
      </c>
      <c r="B971" s="30" t="s">
        <v>285</v>
      </c>
      <c r="C971" s="30" t="s">
        <v>107</v>
      </c>
      <c r="D971" s="30" t="s">
        <v>817</v>
      </c>
      <c r="E971" s="30" t="s">
        <v>463</v>
      </c>
      <c r="F971" s="30" t="s">
        <v>724</v>
      </c>
      <c r="G971" s="41">
        <f>16260-7056.22</f>
        <v>9203.7799999999988</v>
      </c>
    </row>
    <row r="972" spans="1:7" x14ac:dyDescent="0.2">
      <c r="A972" s="84" t="s">
        <v>108</v>
      </c>
      <c r="B972" s="30" t="s">
        <v>285</v>
      </c>
      <c r="C972" s="30" t="s">
        <v>107</v>
      </c>
      <c r="D972" s="30" t="s">
        <v>817</v>
      </c>
      <c r="E972" s="30" t="s">
        <v>463</v>
      </c>
      <c r="F972" s="30" t="s">
        <v>109</v>
      </c>
      <c r="G972" s="41">
        <f>700-315.7</f>
        <v>384.3</v>
      </c>
    </row>
    <row r="973" spans="1:7" ht="24" x14ac:dyDescent="0.2">
      <c r="A973" s="105" t="s">
        <v>341</v>
      </c>
      <c r="B973" s="33" t="s">
        <v>285</v>
      </c>
      <c r="C973" s="33" t="s">
        <v>107</v>
      </c>
      <c r="D973" s="33" t="s">
        <v>817</v>
      </c>
      <c r="E973" s="33" t="s">
        <v>842</v>
      </c>
      <c r="F973" s="33"/>
      <c r="G973" s="101">
        <f>G974</f>
        <v>600</v>
      </c>
    </row>
    <row r="974" spans="1:7" x14ac:dyDescent="0.2">
      <c r="A974" s="84" t="s">
        <v>237</v>
      </c>
      <c r="B974" s="40">
        <v>612</v>
      </c>
      <c r="C974" s="30" t="s">
        <v>107</v>
      </c>
      <c r="D974" s="30" t="s">
        <v>817</v>
      </c>
      <c r="E974" s="30" t="s">
        <v>842</v>
      </c>
      <c r="F974" s="30" t="s">
        <v>236</v>
      </c>
      <c r="G974" s="41">
        <f>G975</f>
        <v>600</v>
      </c>
    </row>
    <row r="975" spans="1:7" ht="15" customHeight="1" x14ac:dyDescent="0.2">
      <c r="A975" s="84" t="s">
        <v>238</v>
      </c>
      <c r="B975" s="40">
        <v>612</v>
      </c>
      <c r="C975" s="30" t="s">
        <v>107</v>
      </c>
      <c r="D975" s="30" t="s">
        <v>817</v>
      </c>
      <c r="E975" s="30" t="s">
        <v>842</v>
      </c>
      <c r="F975" s="30" t="s">
        <v>239</v>
      </c>
      <c r="G975" s="41">
        <v>600</v>
      </c>
    </row>
    <row r="976" spans="1:7" x14ac:dyDescent="0.2">
      <c r="A976" s="80" t="s">
        <v>688</v>
      </c>
      <c r="B976" s="24" t="s">
        <v>285</v>
      </c>
      <c r="C976" s="24" t="s">
        <v>107</v>
      </c>
      <c r="D976" s="24" t="s">
        <v>216</v>
      </c>
      <c r="E976" s="24"/>
      <c r="F976" s="24"/>
      <c r="G976" s="42">
        <f>G977</f>
        <v>13500</v>
      </c>
    </row>
    <row r="977" spans="1:7" ht="27" x14ac:dyDescent="0.2">
      <c r="A977" s="86" t="s">
        <v>831</v>
      </c>
      <c r="B977" s="53" t="s">
        <v>285</v>
      </c>
      <c r="C977" s="53" t="s">
        <v>107</v>
      </c>
      <c r="D977" s="53" t="s">
        <v>216</v>
      </c>
      <c r="E977" s="53" t="s">
        <v>323</v>
      </c>
      <c r="F977" s="25"/>
      <c r="G977" s="57">
        <f>G978</f>
        <v>13500</v>
      </c>
    </row>
    <row r="978" spans="1:7" x14ac:dyDescent="0.2">
      <c r="A978" s="80" t="s">
        <v>461</v>
      </c>
      <c r="B978" s="24" t="s">
        <v>285</v>
      </c>
      <c r="C978" s="24" t="s">
        <v>107</v>
      </c>
      <c r="D978" s="24" t="s">
        <v>216</v>
      </c>
      <c r="E978" s="24" t="s">
        <v>332</v>
      </c>
      <c r="F978" s="24"/>
      <c r="G978" s="42">
        <f>G979</f>
        <v>13500</v>
      </c>
    </row>
    <row r="979" spans="1:7" ht="48" x14ac:dyDescent="0.2">
      <c r="A979" s="65" t="s">
        <v>104</v>
      </c>
      <c r="B979" s="33" t="s">
        <v>285</v>
      </c>
      <c r="C979" s="33" t="s">
        <v>107</v>
      </c>
      <c r="D979" s="33" t="s">
        <v>216</v>
      </c>
      <c r="E979" s="33" t="s">
        <v>462</v>
      </c>
      <c r="F979" s="33"/>
      <c r="G979" s="101">
        <f>G980</f>
        <v>13500</v>
      </c>
    </row>
    <row r="980" spans="1:7" x14ac:dyDescent="0.2">
      <c r="A980" s="84" t="s">
        <v>237</v>
      </c>
      <c r="B980" s="30" t="s">
        <v>285</v>
      </c>
      <c r="C980" s="30" t="s">
        <v>107</v>
      </c>
      <c r="D980" s="30" t="s">
        <v>216</v>
      </c>
      <c r="E980" s="30" t="s">
        <v>462</v>
      </c>
      <c r="F980" s="30" t="s">
        <v>236</v>
      </c>
      <c r="G980" s="41">
        <f>G981</f>
        <v>13500</v>
      </c>
    </row>
    <row r="981" spans="1:7" x14ac:dyDescent="0.2">
      <c r="A981" s="84" t="s">
        <v>314</v>
      </c>
      <c r="B981" s="30" t="s">
        <v>285</v>
      </c>
      <c r="C981" s="30" t="s">
        <v>107</v>
      </c>
      <c r="D981" s="30" t="s">
        <v>216</v>
      </c>
      <c r="E981" s="30" t="s">
        <v>462</v>
      </c>
      <c r="F981" s="30" t="s">
        <v>110</v>
      </c>
      <c r="G981" s="41">
        <v>13500</v>
      </c>
    </row>
    <row r="982" spans="1:7" ht="15.75" x14ac:dyDescent="0.2">
      <c r="A982" s="79" t="s">
        <v>795</v>
      </c>
      <c r="B982" s="46" t="s">
        <v>796</v>
      </c>
      <c r="C982" s="46"/>
      <c r="D982" s="46"/>
      <c r="E982" s="46"/>
      <c r="F982" s="46"/>
      <c r="G982" s="102">
        <f>G983</f>
        <v>26987</v>
      </c>
    </row>
    <row r="983" spans="1:7" x14ac:dyDescent="0.2">
      <c r="A983" s="80" t="s">
        <v>256</v>
      </c>
      <c r="B983" s="24" t="s">
        <v>796</v>
      </c>
      <c r="C983" s="24" t="s">
        <v>214</v>
      </c>
      <c r="D983" s="24" t="s">
        <v>215</v>
      </c>
      <c r="E983" s="24"/>
      <c r="F983" s="24"/>
      <c r="G983" s="42">
        <f>G984+G991+G1002</f>
        <v>26987</v>
      </c>
    </row>
    <row r="984" spans="1:7" ht="24" x14ac:dyDescent="0.2">
      <c r="A984" s="80" t="s">
        <v>797</v>
      </c>
      <c r="B984" s="24" t="s">
        <v>796</v>
      </c>
      <c r="C984" s="24" t="s">
        <v>214</v>
      </c>
      <c r="D984" s="24" t="s">
        <v>825</v>
      </c>
      <c r="E984" s="24"/>
      <c r="F984" s="24"/>
      <c r="G984" s="42">
        <f t="shared" ref="G984:G989" si="8">G985</f>
        <v>1946</v>
      </c>
    </row>
    <row r="985" spans="1:7" x14ac:dyDescent="0.2">
      <c r="A985" s="83" t="s">
        <v>146</v>
      </c>
      <c r="B985" s="25" t="s">
        <v>796</v>
      </c>
      <c r="C985" s="25" t="s">
        <v>214</v>
      </c>
      <c r="D985" s="25" t="s">
        <v>825</v>
      </c>
      <c r="E985" s="25" t="s">
        <v>388</v>
      </c>
      <c r="F985" s="25"/>
      <c r="G985" s="45">
        <f t="shared" si="8"/>
        <v>1946</v>
      </c>
    </row>
    <row r="986" spans="1:7" x14ac:dyDescent="0.2">
      <c r="A986" s="80" t="s">
        <v>250</v>
      </c>
      <c r="B986" s="24" t="s">
        <v>796</v>
      </c>
      <c r="C986" s="24" t="s">
        <v>214</v>
      </c>
      <c r="D986" s="24" t="s">
        <v>825</v>
      </c>
      <c r="E986" s="24" t="s">
        <v>389</v>
      </c>
      <c r="F986" s="24"/>
      <c r="G986" s="42">
        <f t="shared" si="8"/>
        <v>1946</v>
      </c>
    </row>
    <row r="987" spans="1:7" x14ac:dyDescent="0.2">
      <c r="A987" s="85" t="s">
        <v>495</v>
      </c>
      <c r="B987" s="33" t="s">
        <v>796</v>
      </c>
      <c r="C987" s="33" t="s">
        <v>214</v>
      </c>
      <c r="D987" s="33" t="s">
        <v>825</v>
      </c>
      <c r="E987" s="33" t="s">
        <v>390</v>
      </c>
      <c r="F987" s="30"/>
      <c r="G987" s="101">
        <f t="shared" si="8"/>
        <v>1946</v>
      </c>
    </row>
    <row r="988" spans="1:7" x14ac:dyDescent="0.2">
      <c r="A988" s="73" t="s">
        <v>142</v>
      </c>
      <c r="B988" s="88" t="s">
        <v>796</v>
      </c>
      <c r="C988" s="88" t="s">
        <v>214</v>
      </c>
      <c r="D988" s="88" t="s">
        <v>825</v>
      </c>
      <c r="E988" s="88" t="s">
        <v>391</v>
      </c>
      <c r="F988" s="89"/>
      <c r="G988" s="42">
        <f t="shared" si="8"/>
        <v>1946</v>
      </c>
    </row>
    <row r="989" spans="1:7" ht="36" x14ac:dyDescent="0.2">
      <c r="A989" s="84" t="s">
        <v>217</v>
      </c>
      <c r="B989" s="30" t="s">
        <v>796</v>
      </c>
      <c r="C989" s="30" t="s">
        <v>214</v>
      </c>
      <c r="D989" s="30" t="s">
        <v>825</v>
      </c>
      <c r="E989" s="30" t="s">
        <v>392</v>
      </c>
      <c r="F989" s="30" t="s">
        <v>218</v>
      </c>
      <c r="G989" s="41">
        <f t="shared" si="8"/>
        <v>1946</v>
      </c>
    </row>
    <row r="990" spans="1:7" x14ac:dyDescent="0.2">
      <c r="A990" s="84" t="s">
        <v>219</v>
      </c>
      <c r="B990" s="30" t="s">
        <v>796</v>
      </c>
      <c r="C990" s="30" t="s">
        <v>214</v>
      </c>
      <c r="D990" s="30" t="s">
        <v>825</v>
      </c>
      <c r="E990" s="30" t="s">
        <v>392</v>
      </c>
      <c r="F990" s="30" t="s">
        <v>224</v>
      </c>
      <c r="G990" s="41">
        <v>1946</v>
      </c>
    </row>
    <row r="991" spans="1:7" ht="24" x14ac:dyDescent="0.2">
      <c r="A991" s="80" t="s">
        <v>500</v>
      </c>
      <c r="B991" s="24" t="s">
        <v>796</v>
      </c>
      <c r="C991" s="24" t="s">
        <v>214</v>
      </c>
      <c r="D991" s="24" t="s">
        <v>817</v>
      </c>
      <c r="E991" s="24"/>
      <c r="F991" s="24"/>
      <c r="G991" s="42">
        <f>G992+G997</f>
        <v>22847</v>
      </c>
    </row>
    <row r="992" spans="1:7" ht="24" x14ac:dyDescent="0.2">
      <c r="A992" s="83" t="s">
        <v>141</v>
      </c>
      <c r="B992" s="25" t="s">
        <v>796</v>
      </c>
      <c r="C992" s="25" t="s">
        <v>214</v>
      </c>
      <c r="D992" s="25" t="s">
        <v>817</v>
      </c>
      <c r="E992" s="67" t="s">
        <v>393</v>
      </c>
      <c r="F992" s="58"/>
      <c r="G992" s="45">
        <f>G993</f>
        <v>18867</v>
      </c>
    </row>
    <row r="993" spans="1:7" x14ac:dyDescent="0.2">
      <c r="A993" s="80" t="s">
        <v>250</v>
      </c>
      <c r="B993" s="24" t="s">
        <v>796</v>
      </c>
      <c r="C993" s="24" t="s">
        <v>214</v>
      </c>
      <c r="D993" s="24" t="s">
        <v>817</v>
      </c>
      <c r="E993" s="97" t="s">
        <v>287</v>
      </c>
      <c r="F993" s="37"/>
      <c r="G993" s="42">
        <f>G994</f>
        <v>18867</v>
      </c>
    </row>
    <row r="994" spans="1:7" x14ac:dyDescent="0.2">
      <c r="A994" s="73" t="s">
        <v>142</v>
      </c>
      <c r="B994" s="88" t="s">
        <v>796</v>
      </c>
      <c r="C994" s="88" t="s">
        <v>214</v>
      </c>
      <c r="D994" s="88" t="s">
        <v>817</v>
      </c>
      <c r="E994" s="88" t="s">
        <v>397</v>
      </c>
      <c r="F994" s="89"/>
      <c r="G994" s="42">
        <f>G995</f>
        <v>18867</v>
      </c>
    </row>
    <row r="995" spans="1:7" ht="36" x14ac:dyDescent="0.2">
      <c r="A995" s="84" t="s">
        <v>217</v>
      </c>
      <c r="B995" s="30" t="s">
        <v>796</v>
      </c>
      <c r="C995" s="30" t="s">
        <v>214</v>
      </c>
      <c r="D995" s="30" t="s">
        <v>817</v>
      </c>
      <c r="E995" s="30" t="s">
        <v>397</v>
      </c>
      <c r="F995" s="30" t="s">
        <v>218</v>
      </c>
      <c r="G995" s="41">
        <f>G996</f>
        <v>18867</v>
      </c>
    </row>
    <row r="996" spans="1:7" x14ac:dyDescent="0.2">
      <c r="A996" s="84" t="s">
        <v>219</v>
      </c>
      <c r="B996" s="30" t="s">
        <v>796</v>
      </c>
      <c r="C996" s="30" t="s">
        <v>214</v>
      </c>
      <c r="D996" s="30" t="s">
        <v>817</v>
      </c>
      <c r="E996" s="30" t="s">
        <v>397</v>
      </c>
      <c r="F996" s="30" t="s">
        <v>224</v>
      </c>
      <c r="G996" s="41">
        <f>14008+700+4359-200</f>
        <v>18867</v>
      </c>
    </row>
    <row r="997" spans="1:7" x14ac:dyDescent="0.2">
      <c r="A997" s="80" t="s">
        <v>298</v>
      </c>
      <c r="B997" s="24" t="s">
        <v>796</v>
      </c>
      <c r="C997" s="24" t="s">
        <v>214</v>
      </c>
      <c r="D997" s="24" t="s">
        <v>817</v>
      </c>
      <c r="E997" s="24" t="s">
        <v>398</v>
      </c>
      <c r="F997" s="30"/>
      <c r="G997" s="42">
        <f>G998+G1000</f>
        <v>3980</v>
      </c>
    </row>
    <row r="998" spans="1:7" x14ac:dyDescent="0.2">
      <c r="A998" s="84" t="s">
        <v>473</v>
      </c>
      <c r="B998" s="30" t="s">
        <v>796</v>
      </c>
      <c r="C998" s="30" t="s">
        <v>214</v>
      </c>
      <c r="D998" s="30" t="s">
        <v>817</v>
      </c>
      <c r="E998" s="30" t="s">
        <v>398</v>
      </c>
      <c r="F998" s="30" t="s">
        <v>226</v>
      </c>
      <c r="G998" s="41">
        <f>G999</f>
        <v>3955</v>
      </c>
    </row>
    <row r="999" spans="1:7" ht="15" customHeight="1" x14ac:dyDescent="0.2">
      <c r="A999" s="84" t="s">
        <v>227</v>
      </c>
      <c r="B999" s="30" t="s">
        <v>796</v>
      </c>
      <c r="C999" s="30" t="s">
        <v>214</v>
      </c>
      <c r="D999" s="30" t="s">
        <v>817</v>
      </c>
      <c r="E999" s="30" t="s">
        <v>398</v>
      </c>
      <c r="F999" s="30" t="s">
        <v>228</v>
      </c>
      <c r="G999" s="41">
        <f>3755+200</f>
        <v>3955</v>
      </c>
    </row>
    <row r="1000" spans="1:7" x14ac:dyDescent="0.2">
      <c r="A1000" s="84" t="s">
        <v>229</v>
      </c>
      <c r="B1000" s="30" t="s">
        <v>796</v>
      </c>
      <c r="C1000" s="30" t="s">
        <v>214</v>
      </c>
      <c r="D1000" s="30" t="s">
        <v>817</v>
      </c>
      <c r="E1000" s="30" t="s">
        <v>398</v>
      </c>
      <c r="F1000" s="30" t="s">
        <v>230</v>
      </c>
      <c r="G1000" s="41">
        <f>G1001</f>
        <v>25</v>
      </c>
    </row>
    <row r="1001" spans="1:7" x14ac:dyDescent="0.2">
      <c r="A1001" s="84" t="s">
        <v>106</v>
      </c>
      <c r="B1001" s="30" t="s">
        <v>796</v>
      </c>
      <c r="C1001" s="30" t="s">
        <v>214</v>
      </c>
      <c r="D1001" s="30" t="s">
        <v>817</v>
      </c>
      <c r="E1001" s="30" t="s">
        <v>398</v>
      </c>
      <c r="F1001" s="30" t="s">
        <v>231</v>
      </c>
      <c r="G1001" s="41">
        <v>25</v>
      </c>
    </row>
    <row r="1002" spans="1:7" x14ac:dyDescent="0.2">
      <c r="A1002" s="83" t="s">
        <v>146</v>
      </c>
      <c r="B1002" s="25" t="s">
        <v>796</v>
      </c>
      <c r="C1002" s="25" t="s">
        <v>214</v>
      </c>
      <c r="D1002" s="25" t="s">
        <v>235</v>
      </c>
      <c r="E1002" s="25" t="s">
        <v>382</v>
      </c>
      <c r="F1002" s="25"/>
      <c r="G1002" s="45">
        <f>G1003</f>
        <v>2194</v>
      </c>
    </row>
    <row r="1003" spans="1:7" x14ac:dyDescent="0.2">
      <c r="A1003" s="80" t="s">
        <v>250</v>
      </c>
      <c r="B1003" s="24" t="s">
        <v>796</v>
      </c>
      <c r="C1003" s="24" t="s">
        <v>214</v>
      </c>
      <c r="D1003" s="24" t="s">
        <v>235</v>
      </c>
      <c r="E1003" s="24" t="s">
        <v>383</v>
      </c>
      <c r="F1003" s="24"/>
      <c r="G1003" s="42">
        <f>G1004</f>
        <v>2194</v>
      </c>
    </row>
    <row r="1004" spans="1:7" ht="24" x14ac:dyDescent="0.2">
      <c r="A1004" s="85" t="s">
        <v>139</v>
      </c>
      <c r="B1004" s="33" t="s">
        <v>796</v>
      </c>
      <c r="C1004" s="33" t="s">
        <v>214</v>
      </c>
      <c r="D1004" s="33" t="s">
        <v>235</v>
      </c>
      <c r="E1004" s="33" t="s">
        <v>399</v>
      </c>
      <c r="F1004" s="33"/>
      <c r="G1004" s="101">
        <f>G1005</f>
        <v>2194</v>
      </c>
    </row>
    <row r="1005" spans="1:7" x14ac:dyDescent="0.2">
      <c r="A1005" s="82" t="s">
        <v>149</v>
      </c>
      <c r="B1005" s="24" t="s">
        <v>796</v>
      </c>
      <c r="C1005" s="24" t="s">
        <v>214</v>
      </c>
      <c r="D1005" s="24" t="s">
        <v>235</v>
      </c>
      <c r="E1005" s="24" t="s">
        <v>399</v>
      </c>
      <c r="F1005" s="24"/>
      <c r="G1005" s="42">
        <f>G1006</f>
        <v>2194</v>
      </c>
    </row>
    <row r="1006" spans="1:7" ht="36" x14ac:dyDescent="0.2">
      <c r="A1006" s="84" t="s">
        <v>217</v>
      </c>
      <c r="B1006" s="30" t="s">
        <v>796</v>
      </c>
      <c r="C1006" s="30" t="s">
        <v>214</v>
      </c>
      <c r="D1006" s="30" t="s">
        <v>235</v>
      </c>
      <c r="E1006" s="30" t="s">
        <v>399</v>
      </c>
      <c r="F1006" s="30" t="s">
        <v>218</v>
      </c>
      <c r="G1006" s="41">
        <f>G1007</f>
        <v>2194</v>
      </c>
    </row>
    <row r="1007" spans="1:7" x14ac:dyDescent="0.2">
      <c r="A1007" s="84" t="s">
        <v>219</v>
      </c>
      <c r="B1007" s="30" t="s">
        <v>796</v>
      </c>
      <c r="C1007" s="30" t="s">
        <v>214</v>
      </c>
      <c r="D1007" s="30" t="s">
        <v>235</v>
      </c>
      <c r="E1007" s="30" t="s">
        <v>399</v>
      </c>
      <c r="F1007" s="30" t="s">
        <v>224</v>
      </c>
      <c r="G1007" s="41">
        <v>2194</v>
      </c>
    </row>
    <row r="1008" spans="1:7" ht="31.5" x14ac:dyDescent="0.2">
      <c r="A1008" s="79" t="s">
        <v>682</v>
      </c>
      <c r="B1008" s="46" t="s">
        <v>683</v>
      </c>
      <c r="C1008" s="46"/>
      <c r="D1008" s="46"/>
      <c r="E1008" s="46"/>
      <c r="F1008" s="90"/>
      <c r="G1008" s="102">
        <f>G1009</f>
        <v>14722</v>
      </c>
    </row>
    <row r="1009" spans="1:7" x14ac:dyDescent="0.2">
      <c r="A1009" s="80" t="s">
        <v>256</v>
      </c>
      <c r="B1009" s="24" t="s">
        <v>683</v>
      </c>
      <c r="C1009" s="24" t="s">
        <v>214</v>
      </c>
      <c r="D1009" s="24" t="s">
        <v>215</v>
      </c>
      <c r="E1009" s="24"/>
      <c r="F1009" s="31"/>
      <c r="G1009" s="42">
        <f>G1010+G1021</f>
        <v>14722</v>
      </c>
    </row>
    <row r="1010" spans="1:7" ht="24" x14ac:dyDescent="0.2">
      <c r="A1010" s="80" t="s">
        <v>506</v>
      </c>
      <c r="B1010" s="24" t="s">
        <v>683</v>
      </c>
      <c r="C1010" s="24" t="s">
        <v>214</v>
      </c>
      <c r="D1010" s="24" t="s">
        <v>474</v>
      </c>
      <c r="E1010" s="24"/>
      <c r="F1010" s="24"/>
      <c r="G1010" s="42">
        <f>G1011</f>
        <v>14717</v>
      </c>
    </row>
    <row r="1011" spans="1:7" ht="24" x14ac:dyDescent="0.2">
      <c r="A1011" s="81" t="s">
        <v>686</v>
      </c>
      <c r="B1011" s="25" t="s">
        <v>683</v>
      </c>
      <c r="C1011" s="25" t="s">
        <v>214</v>
      </c>
      <c r="D1011" s="25" t="s">
        <v>474</v>
      </c>
      <c r="E1011" s="25" t="s">
        <v>400</v>
      </c>
      <c r="F1011" s="33"/>
      <c r="G1011" s="45">
        <f>G1012</f>
        <v>14717</v>
      </c>
    </row>
    <row r="1012" spans="1:7" x14ac:dyDescent="0.2">
      <c r="A1012" s="82" t="s">
        <v>476</v>
      </c>
      <c r="B1012" s="24" t="s">
        <v>683</v>
      </c>
      <c r="C1012" s="24" t="s">
        <v>214</v>
      </c>
      <c r="D1012" s="24" t="s">
        <v>474</v>
      </c>
      <c r="E1012" s="24" t="s">
        <v>401</v>
      </c>
      <c r="F1012" s="24"/>
      <c r="G1012" s="42">
        <f>G1013+G1016</f>
        <v>14717</v>
      </c>
    </row>
    <row r="1013" spans="1:7" ht="24" x14ac:dyDescent="0.2">
      <c r="A1013" s="82" t="s">
        <v>151</v>
      </c>
      <c r="B1013" s="24" t="s">
        <v>683</v>
      </c>
      <c r="C1013" s="24" t="s">
        <v>214</v>
      </c>
      <c r="D1013" s="24" t="s">
        <v>474</v>
      </c>
      <c r="E1013" s="24" t="s">
        <v>402</v>
      </c>
      <c r="F1013" s="24"/>
      <c r="G1013" s="42">
        <f>G1014</f>
        <v>11923</v>
      </c>
    </row>
    <row r="1014" spans="1:7" ht="36" x14ac:dyDescent="0.2">
      <c r="A1014" s="84" t="s">
        <v>217</v>
      </c>
      <c r="B1014" s="30" t="s">
        <v>683</v>
      </c>
      <c r="C1014" s="30" t="s">
        <v>214</v>
      </c>
      <c r="D1014" s="30" t="s">
        <v>474</v>
      </c>
      <c r="E1014" s="30" t="s">
        <v>402</v>
      </c>
      <c r="F1014" s="30" t="s">
        <v>218</v>
      </c>
      <c r="G1014" s="41">
        <f>G1015</f>
        <v>11923</v>
      </c>
    </row>
    <row r="1015" spans="1:7" x14ac:dyDescent="0.2">
      <c r="A1015" s="84" t="s">
        <v>219</v>
      </c>
      <c r="B1015" s="30" t="s">
        <v>683</v>
      </c>
      <c r="C1015" s="30" t="s">
        <v>214</v>
      </c>
      <c r="D1015" s="30" t="s">
        <v>474</v>
      </c>
      <c r="E1015" s="30" t="s">
        <v>402</v>
      </c>
      <c r="F1015" s="30" t="s">
        <v>224</v>
      </c>
      <c r="G1015" s="41">
        <f>9403+20+2500</f>
        <v>11923</v>
      </c>
    </row>
    <row r="1016" spans="1:7" ht="24" x14ac:dyDescent="0.2">
      <c r="A1016" s="80" t="s">
        <v>152</v>
      </c>
      <c r="B1016" s="24" t="s">
        <v>683</v>
      </c>
      <c r="C1016" s="24" t="s">
        <v>214</v>
      </c>
      <c r="D1016" s="24" t="s">
        <v>474</v>
      </c>
      <c r="E1016" s="24" t="s">
        <v>403</v>
      </c>
      <c r="F1016" s="24"/>
      <c r="G1016" s="42">
        <f>G1017+G1019</f>
        <v>2794</v>
      </c>
    </row>
    <row r="1017" spans="1:7" x14ac:dyDescent="0.2">
      <c r="A1017" s="84" t="s">
        <v>473</v>
      </c>
      <c r="B1017" s="30" t="s">
        <v>683</v>
      </c>
      <c r="C1017" s="30" t="s">
        <v>214</v>
      </c>
      <c r="D1017" s="30" t="s">
        <v>474</v>
      </c>
      <c r="E1017" s="30" t="s">
        <v>403</v>
      </c>
      <c r="F1017" s="30" t="s">
        <v>226</v>
      </c>
      <c r="G1017" s="41">
        <f>G1018</f>
        <v>2760</v>
      </c>
    </row>
    <row r="1018" spans="1:7" ht="15" customHeight="1" x14ac:dyDescent="0.2">
      <c r="A1018" s="84" t="s">
        <v>227</v>
      </c>
      <c r="B1018" s="30" t="s">
        <v>683</v>
      </c>
      <c r="C1018" s="30" t="s">
        <v>214</v>
      </c>
      <c r="D1018" s="30" t="s">
        <v>474</v>
      </c>
      <c r="E1018" s="30" t="s">
        <v>403</v>
      </c>
      <c r="F1018" s="30" t="s">
        <v>228</v>
      </c>
      <c r="G1018" s="41">
        <f>2785-25</f>
        <v>2760</v>
      </c>
    </row>
    <row r="1019" spans="1:7" x14ac:dyDescent="0.2">
      <c r="A1019" s="84" t="s">
        <v>229</v>
      </c>
      <c r="B1019" s="30" t="s">
        <v>683</v>
      </c>
      <c r="C1019" s="30" t="s">
        <v>214</v>
      </c>
      <c r="D1019" s="30" t="s">
        <v>474</v>
      </c>
      <c r="E1019" s="30" t="s">
        <v>403</v>
      </c>
      <c r="F1019" s="30" t="s">
        <v>230</v>
      </c>
      <c r="G1019" s="41">
        <f>G1020</f>
        <v>34</v>
      </c>
    </row>
    <row r="1020" spans="1:7" x14ac:dyDescent="0.2">
      <c r="A1020" s="84" t="s">
        <v>106</v>
      </c>
      <c r="B1020" s="30" t="s">
        <v>683</v>
      </c>
      <c r="C1020" s="30" t="s">
        <v>214</v>
      </c>
      <c r="D1020" s="30" t="s">
        <v>474</v>
      </c>
      <c r="E1020" s="30" t="s">
        <v>403</v>
      </c>
      <c r="F1020" s="30" t="s">
        <v>231</v>
      </c>
      <c r="G1020" s="41">
        <f>14-5+25</f>
        <v>34</v>
      </c>
    </row>
    <row r="1021" spans="1:7" x14ac:dyDescent="0.2">
      <c r="A1021" s="80" t="s">
        <v>509</v>
      </c>
      <c r="B1021" s="24" t="s">
        <v>683</v>
      </c>
      <c r="C1021" s="24" t="s">
        <v>214</v>
      </c>
      <c r="D1021" s="24" t="s">
        <v>235</v>
      </c>
      <c r="E1021" s="24"/>
      <c r="F1021" s="24"/>
      <c r="G1021" s="42">
        <f>G1022</f>
        <v>5</v>
      </c>
    </row>
    <row r="1022" spans="1:7" x14ac:dyDescent="0.2">
      <c r="A1022" s="80" t="s">
        <v>476</v>
      </c>
      <c r="B1022" s="24" t="s">
        <v>683</v>
      </c>
      <c r="C1022" s="24" t="s">
        <v>214</v>
      </c>
      <c r="D1022" s="24" t="s">
        <v>235</v>
      </c>
      <c r="E1022" s="43" t="s">
        <v>383</v>
      </c>
      <c r="F1022" s="24"/>
      <c r="G1022" s="42">
        <f>G1023</f>
        <v>5</v>
      </c>
    </row>
    <row r="1023" spans="1:7" x14ac:dyDescent="0.2">
      <c r="A1023" s="83" t="s">
        <v>510</v>
      </c>
      <c r="B1023" s="25" t="s">
        <v>683</v>
      </c>
      <c r="C1023" s="25" t="s">
        <v>214</v>
      </c>
      <c r="D1023" s="25" t="s">
        <v>235</v>
      </c>
      <c r="E1023" s="54" t="s">
        <v>147</v>
      </c>
      <c r="F1023" s="25"/>
      <c r="G1023" s="45">
        <f>G1024</f>
        <v>5</v>
      </c>
    </row>
    <row r="1024" spans="1:7" x14ac:dyDescent="0.2">
      <c r="A1024" s="84" t="s">
        <v>229</v>
      </c>
      <c r="B1024" s="30" t="s">
        <v>683</v>
      </c>
      <c r="C1024" s="30" t="s">
        <v>214</v>
      </c>
      <c r="D1024" s="30" t="s">
        <v>235</v>
      </c>
      <c r="E1024" s="40" t="s">
        <v>147</v>
      </c>
      <c r="F1024" s="30" t="s">
        <v>230</v>
      </c>
      <c r="G1024" s="41">
        <f>G1025</f>
        <v>5</v>
      </c>
    </row>
    <row r="1025" spans="1:7" x14ac:dyDescent="0.2">
      <c r="A1025" s="84" t="s">
        <v>306</v>
      </c>
      <c r="B1025" s="30" t="s">
        <v>683</v>
      </c>
      <c r="C1025" s="30" t="s">
        <v>214</v>
      </c>
      <c r="D1025" s="30" t="s">
        <v>235</v>
      </c>
      <c r="E1025" s="40" t="s">
        <v>147</v>
      </c>
      <c r="F1025" s="30" t="s">
        <v>310</v>
      </c>
      <c r="G1025" s="41">
        <v>5</v>
      </c>
    </row>
    <row r="1026" spans="1:7" x14ac:dyDescent="0.2">
      <c r="A1026" s="56"/>
      <c r="B1026" s="10"/>
      <c r="C1026" s="10"/>
      <c r="D1026" s="10"/>
      <c r="E1026" s="10"/>
      <c r="F1026" s="10"/>
    </row>
    <row r="1027" spans="1:7" ht="15" x14ac:dyDescent="0.25">
      <c r="A1027" s="183"/>
      <c r="B1027" s="10"/>
      <c r="C1027" s="10"/>
      <c r="D1027" s="10"/>
      <c r="E1027" s="10"/>
      <c r="F1027" s="10"/>
    </row>
    <row r="1028" spans="1:7" x14ac:dyDescent="0.2">
      <c r="A1028" s="56"/>
      <c r="B1028" s="10"/>
      <c r="C1028" s="10"/>
      <c r="D1028" s="10"/>
      <c r="E1028" s="10"/>
      <c r="F1028" s="10"/>
    </row>
    <row r="1029" spans="1:7" x14ac:dyDescent="0.2">
      <c r="A1029" s="56"/>
      <c r="B1029" s="10"/>
      <c r="C1029" s="10"/>
      <c r="D1029" s="10"/>
      <c r="E1029" s="10"/>
      <c r="F1029" s="10"/>
    </row>
    <row r="1030" spans="1:7" x14ac:dyDescent="0.2">
      <c r="A1030" s="56"/>
      <c r="B1030" s="10"/>
      <c r="C1030" s="10"/>
      <c r="D1030" s="10"/>
      <c r="E1030" s="10"/>
      <c r="F1030" s="10"/>
    </row>
    <row r="1031" spans="1:7" x14ac:dyDescent="0.2">
      <c r="A1031" s="56"/>
      <c r="B1031" s="10"/>
      <c r="C1031" s="10"/>
      <c r="D1031" s="10"/>
      <c r="E1031" s="10"/>
      <c r="F1031" s="10"/>
    </row>
    <row r="1032" spans="1:7" x14ac:dyDescent="0.2">
      <c r="A1032" s="56"/>
      <c r="B1032" s="10"/>
      <c r="C1032" s="10"/>
      <c r="D1032" s="10"/>
      <c r="E1032" s="10"/>
      <c r="F1032" s="10"/>
    </row>
    <row r="1033" spans="1:7" x14ac:dyDescent="0.2">
      <c r="A1033" s="56"/>
      <c r="B1033" s="10"/>
      <c r="C1033" s="10"/>
      <c r="D1033" s="10"/>
      <c r="E1033" s="10"/>
      <c r="F1033" s="10"/>
    </row>
    <row r="1034" spans="1:7" x14ac:dyDescent="0.2">
      <c r="A1034" s="56"/>
      <c r="B1034" s="10"/>
      <c r="C1034" s="10"/>
      <c r="D1034" s="10"/>
      <c r="E1034" s="10"/>
      <c r="F1034" s="10"/>
    </row>
    <row r="1035" spans="1:7" x14ac:dyDescent="0.2">
      <c r="A1035" s="56"/>
      <c r="B1035" s="10"/>
      <c r="C1035" s="10"/>
      <c r="D1035" s="10"/>
      <c r="E1035" s="10"/>
      <c r="F1035" s="10"/>
    </row>
    <row r="1036" spans="1:7" x14ac:dyDescent="0.2">
      <c r="A1036" s="56"/>
      <c r="B1036" s="10"/>
      <c r="C1036" s="10"/>
      <c r="D1036" s="10"/>
      <c r="E1036" s="10"/>
      <c r="F1036" s="10"/>
    </row>
    <row r="1037" spans="1:7" x14ac:dyDescent="0.2">
      <c r="A1037" s="56"/>
      <c r="B1037" s="10"/>
      <c r="C1037" s="10"/>
      <c r="D1037" s="10"/>
      <c r="E1037" s="10"/>
      <c r="F1037" s="10"/>
    </row>
    <row r="1038" spans="1:7" x14ac:dyDescent="0.2">
      <c r="A1038" s="56"/>
      <c r="B1038" s="10"/>
      <c r="C1038" s="10"/>
      <c r="D1038" s="10"/>
      <c r="E1038" s="10"/>
      <c r="F1038" s="10"/>
    </row>
    <row r="1039" spans="1:7" x14ac:dyDescent="0.2">
      <c r="A1039" s="56"/>
      <c r="B1039" s="10"/>
      <c r="C1039" s="10"/>
      <c r="D1039" s="10"/>
      <c r="E1039" s="10"/>
      <c r="F1039" s="10"/>
    </row>
    <row r="1040" spans="1:7" x14ac:dyDescent="0.2">
      <c r="A1040" s="56"/>
      <c r="B1040" s="10"/>
      <c r="C1040" s="10"/>
      <c r="D1040" s="10"/>
      <c r="E1040" s="10"/>
      <c r="F1040" s="10"/>
    </row>
    <row r="1041" spans="1:6" x14ac:dyDescent="0.2">
      <c r="A1041" s="56"/>
      <c r="B1041" s="10"/>
      <c r="C1041" s="10"/>
      <c r="D1041" s="10"/>
      <c r="E1041" s="10"/>
      <c r="F1041" s="10"/>
    </row>
    <row r="1042" spans="1:6" x14ac:dyDescent="0.2">
      <c r="A1042" s="56"/>
      <c r="B1042" s="10"/>
      <c r="C1042" s="10"/>
      <c r="D1042" s="10"/>
      <c r="E1042" s="10"/>
      <c r="F1042" s="10"/>
    </row>
    <row r="1043" spans="1:6" x14ac:dyDescent="0.2">
      <c r="A1043" s="56"/>
      <c r="B1043" s="10"/>
      <c r="C1043" s="10"/>
      <c r="D1043" s="10"/>
      <c r="E1043" s="10"/>
      <c r="F1043" s="10"/>
    </row>
    <row r="1044" spans="1:6" x14ac:dyDescent="0.2">
      <c r="A1044" s="56"/>
      <c r="B1044" s="10"/>
      <c r="C1044" s="10"/>
      <c r="D1044" s="10"/>
      <c r="E1044" s="10"/>
      <c r="F1044" s="10"/>
    </row>
    <row r="1045" spans="1:6" x14ac:dyDescent="0.2">
      <c r="A1045" s="56"/>
      <c r="B1045" s="10"/>
      <c r="C1045" s="10"/>
      <c r="D1045" s="10"/>
      <c r="E1045" s="10"/>
      <c r="F1045" s="10"/>
    </row>
    <row r="1046" spans="1:6" x14ac:dyDescent="0.2">
      <c r="A1046" s="56"/>
      <c r="B1046" s="10"/>
      <c r="C1046" s="10"/>
      <c r="D1046" s="10"/>
      <c r="E1046" s="10"/>
      <c r="F1046" s="10"/>
    </row>
    <row r="1047" spans="1:6" x14ac:dyDescent="0.2">
      <c r="A1047" s="56"/>
      <c r="B1047" s="10"/>
      <c r="C1047" s="10"/>
      <c r="D1047" s="10"/>
      <c r="E1047" s="10"/>
      <c r="F1047" s="10"/>
    </row>
    <row r="1048" spans="1:6" x14ac:dyDescent="0.2">
      <c r="A1048" s="56"/>
      <c r="B1048" s="10"/>
      <c r="C1048" s="10"/>
      <c r="D1048" s="10"/>
      <c r="E1048" s="10"/>
      <c r="F1048" s="10"/>
    </row>
    <row r="1049" spans="1:6" x14ac:dyDescent="0.2">
      <c r="A1049" s="56"/>
      <c r="B1049" s="10"/>
      <c r="C1049" s="10"/>
      <c r="D1049" s="10"/>
      <c r="E1049" s="10"/>
      <c r="F1049" s="10"/>
    </row>
    <row r="1050" spans="1:6" x14ac:dyDescent="0.2">
      <c r="A1050" s="56"/>
      <c r="B1050" s="10"/>
      <c r="C1050" s="10"/>
      <c r="D1050" s="10"/>
      <c r="E1050" s="10"/>
      <c r="F1050" s="10"/>
    </row>
    <row r="1051" spans="1:6" x14ac:dyDescent="0.2">
      <c r="A1051" s="56"/>
      <c r="B1051" s="10"/>
      <c r="C1051" s="10"/>
      <c r="D1051" s="10"/>
      <c r="E1051" s="10"/>
      <c r="F1051" s="10"/>
    </row>
    <row r="1052" spans="1:6" x14ac:dyDescent="0.2">
      <c r="A1052" s="56"/>
      <c r="B1052" s="10"/>
      <c r="C1052" s="10"/>
      <c r="D1052" s="10"/>
      <c r="E1052" s="10"/>
      <c r="F1052" s="10"/>
    </row>
    <row r="1053" spans="1:6" x14ac:dyDescent="0.2">
      <c r="A1053" s="56"/>
      <c r="B1053" s="10"/>
      <c r="C1053" s="10"/>
      <c r="D1053" s="10"/>
      <c r="E1053" s="10"/>
      <c r="F1053" s="10"/>
    </row>
    <row r="1054" spans="1:6" x14ac:dyDescent="0.2">
      <c r="A1054" s="56"/>
      <c r="B1054" s="10"/>
      <c r="C1054" s="10"/>
      <c r="D1054" s="10"/>
      <c r="E1054" s="10"/>
      <c r="F1054" s="10"/>
    </row>
    <row r="1055" spans="1:6" x14ac:dyDescent="0.2">
      <c r="A1055" s="56"/>
      <c r="B1055" s="10"/>
      <c r="C1055" s="10"/>
      <c r="D1055" s="10"/>
      <c r="E1055" s="10"/>
      <c r="F1055" s="10"/>
    </row>
    <row r="1056" spans="1:6" x14ac:dyDescent="0.2">
      <c r="A1056" s="56"/>
      <c r="B1056" s="10"/>
      <c r="C1056" s="10"/>
      <c r="D1056" s="10"/>
      <c r="E1056" s="10"/>
      <c r="F1056" s="10"/>
    </row>
    <row r="1057" spans="1:6" x14ac:dyDescent="0.2">
      <c r="A1057" s="56"/>
      <c r="B1057" s="10"/>
      <c r="C1057" s="10"/>
      <c r="D1057" s="10"/>
      <c r="E1057" s="10"/>
      <c r="F1057" s="10"/>
    </row>
    <row r="1058" spans="1:6" x14ac:dyDescent="0.2">
      <c r="A1058" s="56"/>
      <c r="B1058" s="10"/>
      <c r="C1058" s="10"/>
      <c r="D1058" s="10"/>
      <c r="E1058" s="10"/>
      <c r="F1058" s="10"/>
    </row>
    <row r="1059" spans="1:6" x14ac:dyDescent="0.2">
      <c r="A1059" s="56"/>
      <c r="B1059" s="10"/>
      <c r="C1059" s="10"/>
      <c r="D1059" s="10"/>
      <c r="E1059" s="10"/>
      <c r="F1059" s="10"/>
    </row>
    <row r="1060" spans="1:6" x14ac:dyDescent="0.2">
      <c r="A1060" s="56"/>
      <c r="B1060" s="10"/>
      <c r="C1060" s="10"/>
      <c r="D1060" s="10"/>
      <c r="E1060" s="10"/>
      <c r="F1060" s="10"/>
    </row>
    <row r="1061" spans="1:6" x14ac:dyDescent="0.2">
      <c r="A1061" s="56"/>
      <c r="B1061" s="10"/>
      <c r="C1061" s="10"/>
      <c r="D1061" s="10"/>
      <c r="E1061" s="10"/>
      <c r="F1061" s="10"/>
    </row>
    <row r="1062" spans="1:6" x14ac:dyDescent="0.2">
      <c r="A1062" s="56"/>
      <c r="B1062" s="10"/>
      <c r="C1062" s="10"/>
      <c r="D1062" s="10"/>
      <c r="E1062" s="10"/>
      <c r="F1062" s="10"/>
    </row>
    <row r="1063" spans="1:6" x14ac:dyDescent="0.2">
      <c r="A1063" s="56"/>
      <c r="B1063" s="10"/>
      <c r="C1063" s="10"/>
      <c r="D1063" s="10"/>
      <c r="E1063" s="10"/>
      <c r="F1063" s="10"/>
    </row>
    <row r="1064" spans="1:6" x14ac:dyDescent="0.2">
      <c r="A1064" s="56"/>
      <c r="B1064" s="10"/>
      <c r="C1064" s="10"/>
      <c r="D1064" s="10"/>
      <c r="E1064" s="10"/>
      <c r="F1064" s="10"/>
    </row>
    <row r="1065" spans="1:6" x14ac:dyDescent="0.2">
      <c r="A1065" s="56"/>
      <c r="B1065" s="10"/>
      <c r="C1065" s="10"/>
      <c r="D1065" s="10"/>
      <c r="E1065" s="10"/>
      <c r="F1065" s="10"/>
    </row>
    <row r="1066" spans="1:6" x14ac:dyDescent="0.2">
      <c r="A1066" s="56"/>
      <c r="B1066" s="10"/>
      <c r="C1066" s="10"/>
      <c r="D1066" s="10"/>
      <c r="E1066" s="10"/>
      <c r="F1066" s="10"/>
    </row>
    <row r="1067" spans="1:6" x14ac:dyDescent="0.2">
      <c r="A1067" s="56"/>
      <c r="B1067" s="10"/>
      <c r="C1067" s="10"/>
      <c r="D1067" s="10"/>
      <c r="E1067" s="10"/>
      <c r="F1067" s="10"/>
    </row>
    <row r="1068" spans="1:6" x14ac:dyDescent="0.2">
      <c r="A1068" s="56"/>
      <c r="B1068" s="10"/>
      <c r="C1068" s="10"/>
      <c r="D1068" s="10"/>
      <c r="E1068" s="10"/>
      <c r="F1068" s="10"/>
    </row>
    <row r="1069" spans="1:6" x14ac:dyDescent="0.2">
      <c r="A1069" s="56"/>
      <c r="B1069" s="10"/>
      <c r="C1069" s="10"/>
      <c r="D1069" s="10"/>
      <c r="E1069" s="10"/>
      <c r="F1069" s="10"/>
    </row>
    <row r="1070" spans="1:6" x14ac:dyDescent="0.2">
      <c r="A1070" s="56"/>
      <c r="B1070" s="10"/>
      <c r="C1070" s="10"/>
      <c r="D1070" s="10"/>
      <c r="E1070" s="10"/>
      <c r="F1070" s="10"/>
    </row>
    <row r="1071" spans="1:6" x14ac:dyDescent="0.2">
      <c r="A1071" s="56"/>
      <c r="B1071" s="10"/>
      <c r="C1071" s="10"/>
      <c r="D1071" s="10"/>
      <c r="E1071" s="10"/>
      <c r="F1071" s="10"/>
    </row>
    <row r="1072" spans="1:6" x14ac:dyDescent="0.2">
      <c r="A1072" s="56"/>
      <c r="B1072" s="10"/>
      <c r="C1072" s="10"/>
      <c r="D1072" s="10"/>
      <c r="E1072" s="10"/>
      <c r="F1072" s="10"/>
    </row>
    <row r="1073" spans="1:6" x14ac:dyDescent="0.2">
      <c r="A1073" s="56"/>
      <c r="B1073" s="10"/>
      <c r="C1073" s="10"/>
      <c r="D1073" s="10"/>
      <c r="E1073" s="10"/>
      <c r="F1073" s="10"/>
    </row>
    <row r="1074" spans="1:6" x14ac:dyDescent="0.2">
      <c r="A1074" s="56"/>
      <c r="B1074" s="10"/>
      <c r="C1074" s="10"/>
      <c r="D1074" s="10"/>
      <c r="E1074" s="10"/>
      <c r="F1074" s="10"/>
    </row>
    <row r="1075" spans="1:6" x14ac:dyDescent="0.2">
      <c r="A1075" s="56"/>
      <c r="B1075" s="10"/>
      <c r="C1075" s="10"/>
      <c r="D1075" s="10"/>
      <c r="E1075" s="10"/>
      <c r="F1075" s="10"/>
    </row>
    <row r="1076" spans="1:6" x14ac:dyDescent="0.2">
      <c r="A1076" s="56"/>
      <c r="B1076" s="10"/>
      <c r="C1076" s="10"/>
      <c r="D1076" s="10"/>
      <c r="E1076" s="10"/>
      <c r="F1076" s="10"/>
    </row>
    <row r="1077" spans="1:6" x14ac:dyDescent="0.2">
      <c r="A1077" s="56"/>
      <c r="B1077" s="10"/>
      <c r="C1077" s="10"/>
      <c r="D1077" s="10"/>
      <c r="E1077" s="10"/>
      <c r="F1077" s="10"/>
    </row>
    <row r="1078" spans="1:6" x14ac:dyDescent="0.2">
      <c r="A1078" s="56"/>
      <c r="B1078" s="10"/>
      <c r="C1078" s="10"/>
      <c r="D1078" s="10"/>
      <c r="E1078" s="10"/>
      <c r="F1078" s="10"/>
    </row>
    <row r="1079" spans="1:6" x14ac:dyDescent="0.2">
      <c r="A1079" s="56"/>
      <c r="B1079" s="10"/>
      <c r="C1079" s="10"/>
      <c r="D1079" s="10"/>
      <c r="E1079" s="10"/>
      <c r="F1079" s="10"/>
    </row>
    <row r="1080" spans="1:6" x14ac:dyDescent="0.2">
      <c r="A1080" s="56"/>
      <c r="B1080" s="10"/>
      <c r="C1080" s="10"/>
      <c r="D1080" s="10"/>
      <c r="E1080" s="10"/>
      <c r="F1080" s="10"/>
    </row>
    <row r="1081" spans="1:6" x14ac:dyDescent="0.2">
      <c r="A1081" s="56"/>
      <c r="B1081" s="10"/>
      <c r="C1081" s="10"/>
      <c r="D1081" s="10"/>
      <c r="E1081" s="10"/>
      <c r="F1081" s="10"/>
    </row>
    <row r="1082" spans="1:6" x14ac:dyDescent="0.2">
      <c r="A1082" s="56"/>
      <c r="B1082" s="10"/>
      <c r="C1082" s="10"/>
      <c r="D1082" s="10"/>
      <c r="E1082" s="10"/>
      <c r="F1082" s="10"/>
    </row>
    <row r="1083" spans="1:6" x14ac:dyDescent="0.2">
      <c r="A1083" s="56"/>
      <c r="B1083" s="10"/>
      <c r="C1083" s="10"/>
      <c r="D1083" s="10"/>
      <c r="E1083" s="10"/>
      <c r="F1083" s="10"/>
    </row>
    <row r="1084" spans="1:6" x14ac:dyDescent="0.2">
      <c r="A1084" s="56"/>
      <c r="B1084" s="10"/>
      <c r="C1084" s="10"/>
      <c r="D1084" s="10"/>
      <c r="E1084" s="10"/>
      <c r="F1084" s="10"/>
    </row>
    <row r="1085" spans="1:6" x14ac:dyDescent="0.2">
      <c r="A1085" s="56"/>
      <c r="B1085" s="10"/>
      <c r="C1085" s="10"/>
      <c r="D1085" s="10"/>
      <c r="E1085" s="10"/>
      <c r="F1085" s="10"/>
    </row>
    <row r="1086" spans="1:6" x14ac:dyDescent="0.2">
      <c r="A1086" s="56"/>
      <c r="B1086" s="10"/>
      <c r="C1086" s="10"/>
      <c r="D1086" s="10"/>
      <c r="E1086" s="10"/>
      <c r="F1086" s="10"/>
    </row>
    <row r="1087" spans="1:6" x14ac:dyDescent="0.2">
      <c r="A1087" s="56"/>
      <c r="B1087" s="10"/>
      <c r="C1087" s="10"/>
      <c r="D1087" s="10"/>
      <c r="E1087" s="10"/>
      <c r="F1087" s="10"/>
    </row>
    <row r="1088" spans="1:6" x14ac:dyDescent="0.2">
      <c r="A1088" s="56"/>
      <c r="B1088" s="10"/>
      <c r="C1088" s="10"/>
      <c r="D1088" s="10"/>
      <c r="E1088" s="10"/>
      <c r="F1088" s="10"/>
    </row>
    <row r="1089" spans="1:6" x14ac:dyDescent="0.2">
      <c r="A1089" s="56"/>
      <c r="B1089" s="10"/>
      <c r="C1089" s="10"/>
      <c r="D1089" s="10"/>
      <c r="E1089" s="10"/>
      <c r="F1089" s="10"/>
    </row>
    <row r="1090" spans="1:6" x14ac:dyDescent="0.2">
      <c r="A1090" s="56"/>
      <c r="B1090" s="10"/>
      <c r="C1090" s="10"/>
      <c r="D1090" s="10"/>
      <c r="E1090" s="10"/>
      <c r="F1090" s="10"/>
    </row>
    <row r="1091" spans="1:6" x14ac:dyDescent="0.2">
      <c r="A1091" s="56"/>
      <c r="B1091" s="10"/>
      <c r="C1091" s="10"/>
      <c r="D1091" s="10"/>
      <c r="E1091" s="10"/>
      <c r="F1091" s="10"/>
    </row>
    <row r="1092" spans="1:6" x14ac:dyDescent="0.2">
      <c r="A1092" s="56"/>
      <c r="B1092" s="10"/>
      <c r="C1092" s="10"/>
      <c r="D1092" s="10"/>
      <c r="E1092" s="10"/>
      <c r="F1092" s="10"/>
    </row>
    <row r="1093" spans="1:6" x14ac:dyDescent="0.2">
      <c r="A1093" s="56"/>
      <c r="B1093" s="10"/>
      <c r="C1093" s="10"/>
      <c r="D1093" s="10"/>
      <c r="E1093" s="10"/>
      <c r="F1093" s="10"/>
    </row>
    <row r="1094" spans="1:6" x14ac:dyDescent="0.2">
      <c r="A1094" s="56"/>
      <c r="B1094" s="10"/>
      <c r="C1094" s="10"/>
      <c r="D1094" s="10"/>
      <c r="E1094" s="10"/>
      <c r="F1094" s="10"/>
    </row>
    <row r="1095" spans="1:6" x14ac:dyDescent="0.2">
      <c r="A1095" s="56"/>
      <c r="B1095" s="10"/>
      <c r="C1095" s="10"/>
      <c r="D1095" s="10"/>
      <c r="E1095" s="10"/>
      <c r="F1095" s="10"/>
    </row>
    <row r="1096" spans="1:6" x14ac:dyDescent="0.2">
      <c r="A1096" s="56"/>
      <c r="B1096" s="10"/>
      <c r="C1096" s="10"/>
      <c r="D1096" s="10"/>
      <c r="E1096" s="10"/>
      <c r="F1096" s="10"/>
    </row>
    <row r="1097" spans="1:6" x14ac:dyDescent="0.2">
      <c r="A1097" s="56"/>
      <c r="B1097" s="10"/>
      <c r="C1097" s="10"/>
      <c r="D1097" s="10"/>
      <c r="E1097" s="10"/>
      <c r="F1097" s="10"/>
    </row>
    <row r="1098" spans="1:6" x14ac:dyDescent="0.2">
      <c r="A1098" s="56"/>
      <c r="B1098" s="10"/>
      <c r="C1098" s="10"/>
      <c r="D1098" s="10"/>
      <c r="E1098" s="10"/>
      <c r="F1098" s="10"/>
    </row>
    <row r="1099" spans="1:6" x14ac:dyDescent="0.2">
      <c r="A1099" s="56"/>
      <c r="B1099" s="10"/>
      <c r="C1099" s="10"/>
      <c r="D1099" s="10"/>
      <c r="E1099" s="10"/>
      <c r="F1099" s="10"/>
    </row>
    <row r="1100" spans="1:6" x14ac:dyDescent="0.2">
      <c r="A1100" s="56"/>
      <c r="B1100" s="10"/>
      <c r="C1100" s="10"/>
      <c r="D1100" s="10"/>
      <c r="E1100" s="10"/>
      <c r="F1100" s="10"/>
    </row>
    <row r="1101" spans="1:6" x14ac:dyDescent="0.2">
      <c r="A1101" s="56"/>
      <c r="B1101" s="10"/>
      <c r="C1101" s="10"/>
      <c r="D1101" s="10"/>
      <c r="E1101" s="10"/>
      <c r="F1101" s="10"/>
    </row>
    <row r="1102" spans="1:6" x14ac:dyDescent="0.2">
      <c r="A1102" s="56"/>
      <c r="B1102" s="10"/>
      <c r="C1102" s="10"/>
      <c r="D1102" s="10"/>
      <c r="E1102" s="10"/>
      <c r="F1102" s="10"/>
    </row>
    <row r="1103" spans="1:6" x14ac:dyDescent="0.2">
      <c r="A1103" s="56"/>
      <c r="B1103" s="10"/>
      <c r="C1103" s="10"/>
      <c r="D1103" s="10"/>
      <c r="E1103" s="10"/>
      <c r="F1103" s="10"/>
    </row>
    <row r="1104" spans="1:6" x14ac:dyDescent="0.2">
      <c r="A1104" s="56"/>
      <c r="B1104" s="10"/>
      <c r="C1104" s="10"/>
      <c r="D1104" s="10"/>
      <c r="E1104" s="10"/>
      <c r="F1104" s="10"/>
    </row>
    <row r="1105" spans="1:6" x14ac:dyDescent="0.2">
      <c r="A1105" s="56"/>
      <c r="B1105" s="10"/>
      <c r="C1105" s="10"/>
      <c r="D1105" s="10"/>
      <c r="E1105" s="10"/>
      <c r="F1105" s="10"/>
    </row>
    <row r="1106" spans="1:6" x14ac:dyDescent="0.2">
      <c r="A1106" s="56"/>
      <c r="B1106" s="10"/>
      <c r="C1106" s="10"/>
      <c r="D1106" s="10"/>
      <c r="E1106" s="10"/>
      <c r="F1106" s="10"/>
    </row>
    <row r="1107" spans="1:6" x14ac:dyDescent="0.2">
      <c r="A1107" s="56"/>
      <c r="B1107" s="10"/>
      <c r="C1107" s="10"/>
      <c r="D1107" s="10"/>
      <c r="E1107" s="10"/>
      <c r="F1107" s="10"/>
    </row>
    <row r="1108" spans="1:6" x14ac:dyDescent="0.2">
      <c r="A1108" s="56"/>
      <c r="B1108" s="10"/>
      <c r="C1108" s="10"/>
      <c r="D1108" s="10"/>
      <c r="E1108" s="10"/>
      <c r="F1108" s="10"/>
    </row>
    <row r="1109" spans="1:6" x14ac:dyDescent="0.2">
      <c r="A1109" s="56"/>
      <c r="B1109" s="10"/>
      <c r="C1109" s="10"/>
      <c r="D1109" s="10"/>
      <c r="E1109" s="10"/>
      <c r="F1109" s="10"/>
    </row>
    <row r="1110" spans="1:6" x14ac:dyDescent="0.2">
      <c r="A1110" s="56"/>
      <c r="B1110" s="10"/>
      <c r="C1110" s="10"/>
      <c r="D1110" s="10"/>
      <c r="E1110" s="10"/>
      <c r="F1110" s="10"/>
    </row>
    <row r="1111" spans="1:6" x14ac:dyDescent="0.2">
      <c r="A1111" s="56"/>
      <c r="B1111" s="10"/>
      <c r="C1111" s="10"/>
      <c r="D1111" s="10"/>
      <c r="E1111" s="10"/>
      <c r="F1111" s="10"/>
    </row>
    <row r="1112" spans="1:6" x14ac:dyDescent="0.2">
      <c r="A1112" s="56"/>
      <c r="B1112" s="10"/>
      <c r="C1112" s="10"/>
      <c r="D1112" s="10"/>
      <c r="E1112" s="10"/>
      <c r="F1112" s="10"/>
    </row>
    <row r="1113" spans="1:6" x14ac:dyDescent="0.2">
      <c r="A1113" s="56"/>
      <c r="B1113" s="10"/>
      <c r="C1113" s="10"/>
      <c r="D1113" s="10"/>
      <c r="E1113" s="10"/>
      <c r="F1113" s="10"/>
    </row>
    <row r="1114" spans="1:6" x14ac:dyDescent="0.2">
      <c r="A1114" s="56"/>
      <c r="B1114" s="10"/>
      <c r="C1114" s="10"/>
      <c r="D1114" s="10"/>
      <c r="E1114" s="10"/>
      <c r="F1114" s="10"/>
    </row>
    <row r="1115" spans="1:6" x14ac:dyDescent="0.2">
      <c r="A1115" s="56"/>
      <c r="B1115" s="10"/>
      <c r="C1115" s="10"/>
      <c r="D1115" s="10"/>
      <c r="E1115" s="10"/>
      <c r="F1115" s="10"/>
    </row>
    <row r="1116" spans="1:6" x14ac:dyDescent="0.2">
      <c r="A1116" s="56"/>
      <c r="B1116" s="10"/>
      <c r="C1116" s="10"/>
      <c r="D1116" s="10"/>
      <c r="E1116" s="10"/>
      <c r="F1116" s="10"/>
    </row>
    <row r="1117" spans="1:6" x14ac:dyDescent="0.2">
      <c r="A1117" s="56"/>
      <c r="B1117" s="10"/>
      <c r="C1117" s="10"/>
      <c r="D1117" s="10"/>
      <c r="E1117" s="10"/>
      <c r="F1117" s="10"/>
    </row>
    <row r="1118" spans="1:6" x14ac:dyDescent="0.2">
      <c r="A1118" s="56"/>
      <c r="B1118" s="10"/>
      <c r="C1118" s="10"/>
      <c r="D1118" s="10"/>
      <c r="E1118" s="10"/>
      <c r="F1118" s="10"/>
    </row>
    <row r="1119" spans="1:6" x14ac:dyDescent="0.2">
      <c r="A1119" s="56"/>
      <c r="B1119" s="10"/>
      <c r="C1119" s="10"/>
      <c r="D1119" s="10"/>
      <c r="E1119" s="10"/>
      <c r="F1119" s="10"/>
    </row>
    <row r="1120" spans="1:6" x14ac:dyDescent="0.2">
      <c r="A1120" s="56"/>
      <c r="B1120" s="10"/>
      <c r="C1120" s="10"/>
      <c r="D1120" s="10"/>
      <c r="E1120" s="10"/>
      <c r="F1120" s="10"/>
    </row>
    <row r="1121" spans="1:6" x14ac:dyDescent="0.2">
      <c r="A1121" s="56"/>
      <c r="B1121" s="10"/>
      <c r="C1121" s="10"/>
      <c r="D1121" s="10"/>
      <c r="E1121" s="10"/>
      <c r="F1121" s="10"/>
    </row>
    <row r="1122" spans="1:6" x14ac:dyDescent="0.2">
      <c r="A1122" s="56"/>
      <c r="B1122" s="10"/>
      <c r="C1122" s="10"/>
      <c r="D1122" s="10"/>
      <c r="E1122" s="10"/>
      <c r="F1122" s="10"/>
    </row>
    <row r="1123" spans="1:6" x14ac:dyDescent="0.2">
      <c r="A1123" s="56"/>
      <c r="B1123" s="10"/>
      <c r="C1123" s="10"/>
      <c r="D1123" s="10"/>
      <c r="E1123" s="10"/>
      <c r="F1123" s="10"/>
    </row>
    <row r="1124" spans="1:6" x14ac:dyDescent="0.2">
      <c r="A1124" s="56"/>
      <c r="B1124" s="10"/>
      <c r="C1124" s="10"/>
      <c r="D1124" s="10"/>
      <c r="E1124" s="10"/>
      <c r="F1124" s="10"/>
    </row>
    <row r="1125" spans="1:6" x14ac:dyDescent="0.2">
      <c r="A1125" s="56"/>
      <c r="B1125" s="10"/>
      <c r="C1125" s="10"/>
      <c r="D1125" s="10"/>
      <c r="E1125" s="10"/>
      <c r="F1125" s="10"/>
    </row>
    <row r="1126" spans="1:6" x14ac:dyDescent="0.2">
      <c r="A1126" s="56"/>
      <c r="B1126" s="10"/>
      <c r="C1126" s="10"/>
      <c r="D1126" s="10"/>
      <c r="E1126" s="10"/>
      <c r="F1126" s="10"/>
    </row>
    <row r="1127" spans="1:6" x14ac:dyDescent="0.2">
      <c r="A1127" s="56"/>
      <c r="B1127" s="10"/>
      <c r="C1127" s="10"/>
      <c r="D1127" s="10"/>
      <c r="E1127" s="10"/>
      <c r="F1127" s="10"/>
    </row>
    <row r="1128" spans="1:6" x14ac:dyDescent="0.2">
      <c r="A1128" s="56"/>
      <c r="B1128" s="10"/>
      <c r="C1128" s="10"/>
      <c r="D1128" s="10"/>
      <c r="E1128" s="10"/>
      <c r="F1128" s="10"/>
    </row>
    <row r="1129" spans="1:6" x14ac:dyDescent="0.2">
      <c r="A1129" s="56"/>
      <c r="B1129" s="10"/>
      <c r="C1129" s="10"/>
      <c r="D1129" s="10"/>
      <c r="E1129" s="10"/>
      <c r="F1129" s="10"/>
    </row>
    <row r="1130" spans="1:6" x14ac:dyDescent="0.2">
      <c r="A1130" s="56"/>
      <c r="B1130" s="10"/>
      <c r="C1130" s="10"/>
      <c r="D1130" s="10"/>
      <c r="E1130" s="10"/>
      <c r="F1130" s="10"/>
    </row>
    <row r="1131" spans="1:6" x14ac:dyDescent="0.2">
      <c r="A1131" s="56"/>
      <c r="B1131" s="10"/>
      <c r="C1131" s="10"/>
      <c r="D1131" s="10"/>
      <c r="E1131" s="10"/>
      <c r="F1131" s="10"/>
    </row>
    <row r="1132" spans="1:6" x14ac:dyDescent="0.2">
      <c r="A1132" s="56"/>
      <c r="B1132" s="10"/>
      <c r="C1132" s="10"/>
      <c r="D1132" s="10"/>
      <c r="E1132" s="10"/>
      <c r="F1132" s="10"/>
    </row>
    <row r="1133" spans="1:6" x14ac:dyDescent="0.2">
      <c r="A1133" s="56"/>
      <c r="B1133" s="10"/>
      <c r="C1133" s="10"/>
      <c r="D1133" s="10"/>
      <c r="E1133" s="10"/>
      <c r="F1133" s="10"/>
    </row>
    <row r="1134" spans="1:6" x14ac:dyDescent="0.2">
      <c r="A1134" s="56"/>
      <c r="B1134" s="10"/>
      <c r="C1134" s="10"/>
      <c r="D1134" s="10"/>
      <c r="E1134" s="10"/>
      <c r="F1134" s="10"/>
    </row>
    <row r="1135" spans="1:6" x14ac:dyDescent="0.2">
      <c r="A1135" s="56"/>
      <c r="B1135" s="10"/>
      <c r="C1135" s="10"/>
      <c r="D1135" s="10"/>
      <c r="E1135" s="10"/>
      <c r="F1135" s="10"/>
    </row>
    <row r="1136" spans="1:6" x14ac:dyDescent="0.2">
      <c r="A1136" s="56"/>
      <c r="B1136" s="10"/>
      <c r="C1136" s="10"/>
      <c r="D1136" s="10"/>
      <c r="E1136" s="10"/>
      <c r="F1136" s="10"/>
    </row>
    <row r="1137" spans="1:6" x14ac:dyDescent="0.2">
      <c r="A1137" s="56"/>
      <c r="B1137" s="10"/>
      <c r="C1137" s="10"/>
      <c r="D1137" s="10"/>
      <c r="E1137" s="10"/>
      <c r="F1137" s="10"/>
    </row>
    <row r="1138" spans="1:6" x14ac:dyDescent="0.2">
      <c r="A1138" s="56"/>
      <c r="B1138" s="10"/>
      <c r="C1138" s="10"/>
      <c r="D1138" s="10"/>
      <c r="E1138" s="10"/>
      <c r="F1138" s="10"/>
    </row>
    <row r="1139" spans="1:6" x14ac:dyDescent="0.2">
      <c r="A1139" s="56"/>
      <c r="B1139" s="10"/>
      <c r="C1139" s="10"/>
      <c r="D1139" s="10"/>
      <c r="E1139" s="10"/>
      <c r="F1139" s="10"/>
    </row>
    <row r="1140" spans="1:6" x14ac:dyDescent="0.2">
      <c r="A1140" s="56"/>
      <c r="B1140" s="10"/>
      <c r="C1140" s="10"/>
      <c r="D1140" s="10"/>
      <c r="E1140" s="10"/>
      <c r="F1140" s="10"/>
    </row>
    <row r="1141" spans="1:6" x14ac:dyDescent="0.2">
      <c r="A1141" s="56"/>
      <c r="B1141" s="10"/>
      <c r="C1141" s="10"/>
      <c r="D1141" s="10"/>
      <c r="E1141" s="10"/>
      <c r="F1141" s="10"/>
    </row>
    <row r="1142" spans="1:6" x14ac:dyDescent="0.2">
      <c r="A1142" s="56"/>
      <c r="B1142" s="10"/>
      <c r="C1142" s="10"/>
      <c r="D1142" s="10"/>
      <c r="E1142" s="10"/>
      <c r="F1142" s="10"/>
    </row>
    <row r="1143" spans="1:6" x14ac:dyDescent="0.2">
      <c r="A1143" s="56"/>
      <c r="B1143" s="10"/>
      <c r="C1143" s="10"/>
      <c r="D1143" s="10"/>
      <c r="E1143" s="10"/>
      <c r="F1143" s="10"/>
    </row>
    <row r="1144" spans="1:6" x14ac:dyDescent="0.2">
      <c r="A1144" s="56"/>
      <c r="B1144" s="10"/>
      <c r="C1144" s="10"/>
      <c r="D1144" s="10"/>
      <c r="E1144" s="10"/>
      <c r="F1144" s="10"/>
    </row>
    <row r="1145" spans="1:6" x14ac:dyDescent="0.2">
      <c r="A1145" s="56"/>
      <c r="B1145" s="10"/>
      <c r="C1145" s="10"/>
      <c r="D1145" s="10"/>
      <c r="E1145" s="10"/>
      <c r="F1145" s="10"/>
    </row>
    <row r="1146" spans="1:6" x14ac:dyDescent="0.2">
      <c r="A1146" s="56"/>
      <c r="B1146" s="10"/>
      <c r="C1146" s="10"/>
      <c r="D1146" s="10"/>
      <c r="E1146" s="10"/>
      <c r="F1146" s="10"/>
    </row>
    <row r="1147" spans="1:6" x14ac:dyDescent="0.2">
      <c r="A1147" s="56"/>
      <c r="B1147" s="10"/>
      <c r="C1147" s="10"/>
      <c r="D1147" s="10"/>
      <c r="E1147" s="10"/>
      <c r="F1147" s="10"/>
    </row>
    <row r="1148" spans="1:6" x14ac:dyDescent="0.2">
      <c r="A1148" s="56"/>
      <c r="B1148" s="10"/>
      <c r="C1148" s="10"/>
      <c r="D1148" s="10"/>
      <c r="E1148" s="10"/>
      <c r="F1148" s="10"/>
    </row>
    <row r="1149" spans="1:6" x14ac:dyDescent="0.2">
      <c r="A1149" s="56"/>
      <c r="B1149" s="10"/>
      <c r="C1149" s="10"/>
      <c r="D1149" s="10"/>
      <c r="E1149" s="10"/>
      <c r="F1149" s="10"/>
    </row>
    <row r="1150" spans="1:6" x14ac:dyDescent="0.2">
      <c r="A1150" s="56"/>
      <c r="B1150" s="10"/>
      <c r="C1150" s="10"/>
      <c r="D1150" s="10"/>
      <c r="E1150" s="10"/>
      <c r="F1150" s="10"/>
    </row>
    <row r="1151" spans="1:6" x14ac:dyDescent="0.2">
      <c r="A1151" s="56"/>
      <c r="B1151" s="10"/>
      <c r="C1151" s="10"/>
      <c r="D1151" s="10"/>
      <c r="E1151" s="10"/>
      <c r="F1151" s="10"/>
    </row>
    <row r="1152" spans="1:6" x14ac:dyDescent="0.2">
      <c r="A1152" s="56"/>
      <c r="B1152" s="10"/>
      <c r="C1152" s="10"/>
      <c r="D1152" s="10"/>
      <c r="E1152" s="10"/>
      <c r="F1152" s="10"/>
    </row>
  </sheetData>
  <autoFilter ref="A20:G1025">
    <sortState ref="A441:G514">
      <sortCondition ref="B20:B1025"/>
    </sortState>
  </autoFilter>
  <mergeCells count="15">
    <mergeCell ref="A17:G17"/>
    <mergeCell ref="A19:G19"/>
    <mergeCell ref="A16:F16"/>
    <mergeCell ref="A7:G7"/>
    <mergeCell ref="B1:G1"/>
    <mergeCell ref="B2:G2"/>
    <mergeCell ref="B3:G3"/>
    <mergeCell ref="B4:G4"/>
    <mergeCell ref="B5:G5"/>
    <mergeCell ref="A6:G6"/>
    <mergeCell ref="A10:G10"/>
    <mergeCell ref="A14:G14"/>
    <mergeCell ref="A13:G13"/>
    <mergeCell ref="A12:G12"/>
    <mergeCell ref="A11:G11"/>
  </mergeCells>
  <phoneticPr fontId="2" type="noConversion"/>
  <pageMargins left="0.59055118110236227" right="0.39370078740157483" top="0.59055118110236227" bottom="0.39370078740157483" header="0" footer="0"/>
  <pageSetup paperSize="9" orientation="landscape" useFirstPageNumber="1" r:id="rId1"/>
  <headerFooter alignWithMargins="0">
    <oddFooter>&amp;C&amp;P</oddFooter>
  </headerFooter>
  <rowBreaks count="5" manualBreakCount="5">
    <brk id="33" max="6" man="1"/>
    <brk id="174" max="6" man="1"/>
    <brk id="207" max="6" man="1"/>
    <brk id="800" max="6" man="1"/>
    <brk id="94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BP898"/>
  <sheetViews>
    <sheetView view="pageBreakPreview" topLeftCell="A845" zoomScale="130" zoomScaleNormal="130" zoomScaleSheetLayoutView="130" workbookViewId="0">
      <selection activeCell="A863" sqref="A863"/>
    </sheetView>
  </sheetViews>
  <sheetFormatPr defaultRowHeight="12.75" x14ac:dyDescent="0.2"/>
  <cols>
    <col min="1" max="1" width="64" style="2" customWidth="1"/>
    <col min="2" max="2" width="8.28515625" style="23" customWidth="1"/>
    <col min="3" max="3" width="7.7109375" style="23" customWidth="1"/>
    <col min="4" max="4" width="7" style="23" customWidth="1"/>
    <col min="5" max="5" width="13.42578125" style="23" customWidth="1"/>
    <col min="6" max="6" width="9" style="23" customWidth="1"/>
    <col min="7" max="8" width="14.140625" style="32" customWidth="1"/>
    <col min="9" max="68" width="9.140625" style="32"/>
  </cols>
  <sheetData>
    <row r="1" spans="1:8" ht="15" x14ac:dyDescent="0.25">
      <c r="C1" s="192"/>
      <c r="D1" s="232" t="s">
        <v>684</v>
      </c>
      <c r="E1" s="232"/>
      <c r="F1" s="232"/>
      <c r="G1" s="232"/>
      <c r="H1" s="232"/>
    </row>
    <row r="2" spans="1:8" ht="15" x14ac:dyDescent="0.25">
      <c r="C2" s="192"/>
      <c r="D2" s="232" t="s">
        <v>609</v>
      </c>
      <c r="E2" s="232"/>
      <c r="F2" s="232"/>
      <c r="G2" s="232"/>
      <c r="H2" s="232"/>
    </row>
    <row r="3" spans="1:8" ht="15" x14ac:dyDescent="0.25">
      <c r="C3" s="192"/>
      <c r="D3" s="232" t="s">
        <v>855</v>
      </c>
      <c r="E3" s="232"/>
      <c r="F3" s="232"/>
      <c r="G3" s="232"/>
      <c r="H3" s="232"/>
    </row>
    <row r="4" spans="1:8" ht="15" x14ac:dyDescent="0.25">
      <c r="C4" s="192"/>
      <c r="D4" s="232" t="s">
        <v>602</v>
      </c>
      <c r="E4" s="232"/>
      <c r="F4" s="232"/>
      <c r="G4" s="232"/>
      <c r="H4" s="232"/>
    </row>
    <row r="5" spans="1:8" ht="15" x14ac:dyDescent="0.25">
      <c r="C5" s="192"/>
      <c r="D5" s="232" t="s">
        <v>603</v>
      </c>
      <c r="E5" s="232"/>
      <c r="F5" s="232"/>
      <c r="G5" s="232"/>
      <c r="H5" s="232"/>
    </row>
    <row r="6" spans="1:8" ht="15" x14ac:dyDescent="0.25">
      <c r="C6" s="232" t="s">
        <v>610</v>
      </c>
      <c r="D6" s="232"/>
      <c r="E6" s="232"/>
      <c r="F6" s="232"/>
      <c r="G6" s="232"/>
      <c r="H6" s="232"/>
    </row>
    <row r="7" spans="1:8" ht="15" x14ac:dyDescent="0.25">
      <c r="C7" s="232" t="s">
        <v>604</v>
      </c>
      <c r="D7" s="232"/>
      <c r="E7" s="232"/>
      <c r="F7" s="232"/>
      <c r="G7" s="232"/>
      <c r="H7" s="232"/>
    </row>
    <row r="9" spans="1:8" ht="15" x14ac:dyDescent="0.25">
      <c r="A9" s="232" t="s">
        <v>564</v>
      </c>
      <c r="B9" s="232"/>
      <c r="C9" s="232"/>
      <c r="D9" s="232"/>
      <c r="E9" s="232"/>
      <c r="F9" s="232"/>
      <c r="G9" s="232"/>
      <c r="H9" s="232"/>
    </row>
    <row r="10" spans="1:8" ht="15" x14ac:dyDescent="0.25">
      <c r="A10" s="232" t="s">
        <v>608</v>
      </c>
      <c r="B10" s="232"/>
      <c r="C10" s="232"/>
      <c r="D10" s="232"/>
      <c r="E10" s="232"/>
      <c r="F10" s="232"/>
      <c r="G10" s="232"/>
      <c r="H10" s="232"/>
    </row>
    <row r="11" spans="1:8" ht="15" x14ac:dyDescent="0.25">
      <c r="A11" s="232" t="s">
        <v>605</v>
      </c>
      <c r="B11" s="232"/>
      <c r="C11" s="232"/>
      <c r="D11" s="232"/>
      <c r="E11" s="232"/>
      <c r="F11" s="232"/>
      <c r="G11" s="232"/>
      <c r="H11" s="232"/>
    </row>
    <row r="12" spans="1:8" ht="15" x14ac:dyDescent="0.25">
      <c r="A12" s="232" t="s">
        <v>606</v>
      </c>
      <c r="B12" s="232"/>
      <c r="C12" s="232"/>
      <c r="D12" s="232"/>
      <c r="E12" s="232"/>
      <c r="F12" s="232"/>
      <c r="G12" s="232"/>
      <c r="H12" s="232"/>
    </row>
    <row r="13" spans="1:8" ht="15" x14ac:dyDescent="0.25">
      <c r="A13" s="232" t="s">
        <v>607</v>
      </c>
      <c r="B13" s="232"/>
      <c r="C13" s="232"/>
      <c r="D13" s="232"/>
      <c r="E13" s="232"/>
      <c r="F13" s="232"/>
      <c r="G13" s="232"/>
      <c r="H13" s="232"/>
    </row>
    <row r="15" spans="1:8" ht="15.75" x14ac:dyDescent="0.25">
      <c r="A15" s="239"/>
      <c r="B15" s="239"/>
      <c r="C15" s="239"/>
      <c r="D15" s="239"/>
      <c r="E15" s="239"/>
      <c r="F15" s="239"/>
    </row>
    <row r="16" spans="1:8" ht="15.75" x14ac:dyDescent="0.25">
      <c r="A16" s="237" t="s">
        <v>565</v>
      </c>
      <c r="B16" s="237"/>
      <c r="C16" s="237"/>
      <c r="D16" s="237"/>
      <c r="E16" s="237"/>
      <c r="F16" s="237"/>
      <c r="G16" s="237"/>
      <c r="H16" s="237"/>
    </row>
    <row r="17" spans="1:8" ht="15.75" x14ac:dyDescent="0.25">
      <c r="A17" s="60"/>
      <c r="B17" s="60"/>
      <c r="C17" s="60"/>
      <c r="D17" s="60"/>
      <c r="E17" s="60"/>
      <c r="F17" s="60"/>
    </row>
    <row r="18" spans="1:8" x14ac:dyDescent="0.2">
      <c r="A18" s="238" t="s">
        <v>802</v>
      </c>
      <c r="B18" s="238"/>
      <c r="C18" s="238"/>
      <c r="D18" s="238"/>
      <c r="E18" s="238"/>
      <c r="F18" s="238"/>
      <c r="G18" s="238"/>
      <c r="H18" s="238"/>
    </row>
    <row r="19" spans="1:8" ht="38.25" customHeight="1" x14ac:dyDescent="0.2">
      <c r="A19" s="240" t="s">
        <v>252</v>
      </c>
      <c r="B19" s="240" t="s">
        <v>695</v>
      </c>
      <c r="C19" s="240" t="s">
        <v>145</v>
      </c>
      <c r="D19" s="240" t="s">
        <v>144</v>
      </c>
      <c r="E19" s="240" t="s">
        <v>253</v>
      </c>
      <c r="F19" s="240" t="s">
        <v>696</v>
      </c>
      <c r="G19" s="69" t="s">
        <v>566</v>
      </c>
      <c r="H19" s="69" t="s">
        <v>566</v>
      </c>
    </row>
    <row r="20" spans="1:8" x14ac:dyDescent="0.2">
      <c r="A20" s="240"/>
      <c r="B20" s="240"/>
      <c r="C20" s="240"/>
      <c r="D20" s="240"/>
      <c r="E20" s="240"/>
      <c r="F20" s="240"/>
      <c r="G20" s="69" t="s">
        <v>567</v>
      </c>
      <c r="H20" s="69" t="s">
        <v>568</v>
      </c>
    </row>
    <row r="21" spans="1:8" ht="15.75" x14ac:dyDescent="0.2">
      <c r="A21" s="21" t="s">
        <v>255</v>
      </c>
      <c r="B21" s="22"/>
      <c r="C21" s="22"/>
      <c r="D21" s="22"/>
      <c r="E21" s="22"/>
      <c r="F21" s="22"/>
      <c r="G21" s="100">
        <f>G22+G215+G253+G291+G325+G372+G443+G503+G577+G673+G697+G726+G820+G846+G859</f>
        <v>3984811.3964</v>
      </c>
      <c r="H21" s="100">
        <f>H22+H215+H253+H291+H325+H372+H443+H503+H577+H673+H697+H726+H820+H846+H859</f>
        <v>3868322.9499999997</v>
      </c>
    </row>
    <row r="22" spans="1:8" ht="15.75" x14ac:dyDescent="0.2">
      <c r="A22" s="79" t="s">
        <v>798</v>
      </c>
      <c r="B22" s="53">
        <v>598</v>
      </c>
      <c r="C22" s="53"/>
      <c r="D22" s="53"/>
      <c r="E22" s="53"/>
      <c r="F22" s="53"/>
      <c r="G22" s="57">
        <f>G23+G135+G150+G182+G199</f>
        <v>233626</v>
      </c>
      <c r="H22" s="57">
        <f>H23+H135+H150+H182+H199</f>
        <v>233479</v>
      </c>
    </row>
    <row r="23" spans="1:8" x14ac:dyDescent="0.2">
      <c r="A23" s="80" t="s">
        <v>256</v>
      </c>
      <c r="B23" s="24">
        <v>598</v>
      </c>
      <c r="C23" s="24" t="s">
        <v>214</v>
      </c>
      <c r="D23" s="24" t="s">
        <v>215</v>
      </c>
      <c r="E23" s="24"/>
      <c r="F23" s="24"/>
      <c r="G23" s="42">
        <f>G24+G30+G41+G47</f>
        <v>177884</v>
      </c>
      <c r="H23" s="42">
        <f>H24+H30+H41+H47</f>
        <v>177737</v>
      </c>
    </row>
    <row r="24" spans="1:8" x14ac:dyDescent="0.2">
      <c r="A24" s="81" t="s">
        <v>212</v>
      </c>
      <c r="B24" s="25" t="s">
        <v>697</v>
      </c>
      <c r="C24" s="25" t="s">
        <v>214</v>
      </c>
      <c r="D24" s="25" t="s">
        <v>216</v>
      </c>
      <c r="E24" s="25" t="s">
        <v>379</v>
      </c>
      <c r="F24" s="25"/>
      <c r="G24" s="45">
        <f t="shared" ref="G24:H28" si="0">G25</f>
        <v>1800</v>
      </c>
      <c r="H24" s="45">
        <f t="shared" si="0"/>
        <v>1800</v>
      </c>
    </row>
    <row r="25" spans="1:8" x14ac:dyDescent="0.2">
      <c r="A25" s="82" t="s">
        <v>476</v>
      </c>
      <c r="B25" s="24" t="s">
        <v>697</v>
      </c>
      <c r="C25" s="24" t="s">
        <v>214</v>
      </c>
      <c r="D25" s="24" t="s">
        <v>216</v>
      </c>
      <c r="E25" s="24" t="s">
        <v>380</v>
      </c>
      <c r="F25" s="24"/>
      <c r="G25" s="42">
        <f t="shared" si="0"/>
        <v>1800</v>
      </c>
      <c r="H25" s="42">
        <f t="shared" si="0"/>
        <v>1800</v>
      </c>
    </row>
    <row r="26" spans="1:8" ht="24" x14ac:dyDescent="0.2">
      <c r="A26" s="83" t="s">
        <v>502</v>
      </c>
      <c r="B26" s="25">
        <v>598</v>
      </c>
      <c r="C26" s="25" t="s">
        <v>214</v>
      </c>
      <c r="D26" s="25" t="s">
        <v>216</v>
      </c>
      <c r="E26" s="25" t="s">
        <v>380</v>
      </c>
      <c r="F26" s="33"/>
      <c r="G26" s="101">
        <f t="shared" si="0"/>
        <v>1800</v>
      </c>
      <c r="H26" s="101">
        <f t="shared" si="0"/>
        <v>1800</v>
      </c>
    </row>
    <row r="27" spans="1:8" ht="24" x14ac:dyDescent="0.2">
      <c r="A27" s="82" t="s">
        <v>475</v>
      </c>
      <c r="B27" s="24">
        <v>598</v>
      </c>
      <c r="C27" s="24" t="s">
        <v>214</v>
      </c>
      <c r="D27" s="24" t="s">
        <v>216</v>
      </c>
      <c r="E27" s="24" t="s">
        <v>381</v>
      </c>
      <c r="F27" s="24"/>
      <c r="G27" s="42">
        <f t="shared" si="0"/>
        <v>1800</v>
      </c>
      <c r="H27" s="42">
        <f t="shared" si="0"/>
        <v>1800</v>
      </c>
    </row>
    <row r="28" spans="1:8" ht="36" x14ac:dyDescent="0.2">
      <c r="A28" s="84" t="s">
        <v>217</v>
      </c>
      <c r="B28" s="30" t="s">
        <v>697</v>
      </c>
      <c r="C28" s="30" t="s">
        <v>214</v>
      </c>
      <c r="D28" s="30" t="s">
        <v>216</v>
      </c>
      <c r="E28" s="30" t="s">
        <v>381</v>
      </c>
      <c r="F28" s="30" t="s">
        <v>218</v>
      </c>
      <c r="G28" s="41">
        <f t="shared" si="0"/>
        <v>1800</v>
      </c>
      <c r="H28" s="41">
        <f t="shared" si="0"/>
        <v>1800</v>
      </c>
    </row>
    <row r="29" spans="1:8" x14ac:dyDescent="0.2">
      <c r="A29" s="84" t="s">
        <v>219</v>
      </c>
      <c r="B29" s="30" t="s">
        <v>697</v>
      </c>
      <c r="C29" s="30" t="s">
        <v>214</v>
      </c>
      <c r="D29" s="30" t="s">
        <v>216</v>
      </c>
      <c r="E29" s="30" t="s">
        <v>381</v>
      </c>
      <c r="F29" s="30" t="s">
        <v>224</v>
      </c>
      <c r="G29" s="41">
        <v>1800</v>
      </c>
      <c r="H29" s="41">
        <v>1800</v>
      </c>
    </row>
    <row r="30" spans="1:8" ht="36" x14ac:dyDescent="0.2">
      <c r="A30" s="80" t="s">
        <v>501</v>
      </c>
      <c r="B30" s="24">
        <v>598</v>
      </c>
      <c r="C30" s="24" t="s">
        <v>214</v>
      </c>
      <c r="D30" s="24" t="s">
        <v>216</v>
      </c>
      <c r="E30" s="24"/>
      <c r="F30" s="24"/>
      <c r="G30" s="42">
        <f>G31</f>
        <v>81540</v>
      </c>
      <c r="H30" s="42">
        <f>H31</f>
        <v>81540</v>
      </c>
    </row>
    <row r="31" spans="1:8" x14ac:dyDescent="0.2">
      <c r="A31" s="81" t="s">
        <v>212</v>
      </c>
      <c r="B31" s="25" t="s">
        <v>697</v>
      </c>
      <c r="C31" s="25" t="s">
        <v>214</v>
      </c>
      <c r="D31" s="25" t="s">
        <v>216</v>
      </c>
      <c r="E31" s="25" t="s">
        <v>382</v>
      </c>
      <c r="F31" s="25"/>
      <c r="G31" s="45">
        <f>G32</f>
        <v>81540</v>
      </c>
      <c r="H31" s="45">
        <f>H32</f>
        <v>81540</v>
      </c>
    </row>
    <row r="32" spans="1:8" x14ac:dyDescent="0.2">
      <c r="A32" s="82" t="s">
        <v>476</v>
      </c>
      <c r="B32" s="24" t="s">
        <v>697</v>
      </c>
      <c r="C32" s="24" t="s">
        <v>214</v>
      </c>
      <c r="D32" s="24" t="s">
        <v>216</v>
      </c>
      <c r="E32" s="24" t="s">
        <v>383</v>
      </c>
      <c r="F32" s="25"/>
      <c r="G32" s="42">
        <f>G33+G36</f>
        <v>81540</v>
      </c>
      <c r="H32" s="42">
        <f>H33+H36</f>
        <v>81540</v>
      </c>
    </row>
    <row r="33" spans="1:8" ht="24" x14ac:dyDescent="0.2">
      <c r="A33" s="82" t="s">
        <v>138</v>
      </c>
      <c r="B33" s="24" t="s">
        <v>697</v>
      </c>
      <c r="C33" s="24" t="s">
        <v>214</v>
      </c>
      <c r="D33" s="24" t="s">
        <v>216</v>
      </c>
      <c r="E33" s="24" t="s">
        <v>384</v>
      </c>
      <c r="F33" s="24"/>
      <c r="G33" s="42">
        <f>G34</f>
        <v>63500</v>
      </c>
      <c r="H33" s="42">
        <f>H34</f>
        <v>63500</v>
      </c>
    </row>
    <row r="34" spans="1:8" ht="36" x14ac:dyDescent="0.2">
      <c r="A34" s="84" t="s">
        <v>217</v>
      </c>
      <c r="B34" s="30" t="s">
        <v>697</v>
      </c>
      <c r="C34" s="30" t="s">
        <v>214</v>
      </c>
      <c r="D34" s="30" t="s">
        <v>216</v>
      </c>
      <c r="E34" s="30" t="s">
        <v>384</v>
      </c>
      <c r="F34" s="30" t="s">
        <v>218</v>
      </c>
      <c r="G34" s="41">
        <f>G35</f>
        <v>63500</v>
      </c>
      <c r="H34" s="41">
        <f>H35</f>
        <v>63500</v>
      </c>
    </row>
    <row r="35" spans="1:8" x14ac:dyDescent="0.2">
      <c r="A35" s="84" t="s">
        <v>219</v>
      </c>
      <c r="B35" s="30" t="s">
        <v>697</v>
      </c>
      <c r="C35" s="30" t="s">
        <v>214</v>
      </c>
      <c r="D35" s="30" t="s">
        <v>216</v>
      </c>
      <c r="E35" s="30" t="s">
        <v>384</v>
      </c>
      <c r="F35" s="30" t="s">
        <v>224</v>
      </c>
      <c r="G35" s="41">
        <f>48000+1000+14500</f>
        <v>63500</v>
      </c>
      <c r="H35" s="41">
        <f>48000+1000+14500</f>
        <v>63500</v>
      </c>
    </row>
    <row r="36" spans="1:8" x14ac:dyDescent="0.2">
      <c r="A36" s="80" t="s">
        <v>225</v>
      </c>
      <c r="B36" s="24" t="s">
        <v>697</v>
      </c>
      <c r="C36" s="24" t="s">
        <v>214</v>
      </c>
      <c r="D36" s="24" t="s">
        <v>216</v>
      </c>
      <c r="E36" s="24" t="s">
        <v>385</v>
      </c>
      <c r="F36" s="24"/>
      <c r="G36" s="42">
        <f>G37+G39</f>
        <v>18040</v>
      </c>
      <c r="H36" s="42">
        <f>H37+H39</f>
        <v>18040</v>
      </c>
    </row>
    <row r="37" spans="1:8" x14ac:dyDescent="0.2">
      <c r="A37" s="84" t="s">
        <v>473</v>
      </c>
      <c r="B37" s="30" t="s">
        <v>697</v>
      </c>
      <c r="C37" s="30" t="s">
        <v>214</v>
      </c>
      <c r="D37" s="30" t="s">
        <v>216</v>
      </c>
      <c r="E37" s="30" t="s">
        <v>385</v>
      </c>
      <c r="F37" s="30" t="s">
        <v>226</v>
      </c>
      <c r="G37" s="41">
        <f>G38</f>
        <v>17380</v>
      </c>
      <c r="H37" s="41">
        <f>H38</f>
        <v>17380</v>
      </c>
    </row>
    <row r="38" spans="1:8" ht="24" x14ac:dyDescent="0.2">
      <c r="A38" s="84" t="s">
        <v>227</v>
      </c>
      <c r="B38" s="30" t="s">
        <v>697</v>
      </c>
      <c r="C38" s="30" t="s">
        <v>214</v>
      </c>
      <c r="D38" s="30" t="s">
        <v>216</v>
      </c>
      <c r="E38" s="30" t="s">
        <v>385</v>
      </c>
      <c r="F38" s="30" t="s">
        <v>228</v>
      </c>
      <c r="G38" s="41">
        <f>1700+850+9000+700+3732+848+550</f>
        <v>17380</v>
      </c>
      <c r="H38" s="41">
        <f>1700+850+9000+700+3732+848+550</f>
        <v>17380</v>
      </c>
    </row>
    <row r="39" spans="1:8" x14ac:dyDescent="0.2">
      <c r="A39" s="84" t="s">
        <v>229</v>
      </c>
      <c r="B39" s="30" t="s">
        <v>697</v>
      </c>
      <c r="C39" s="30" t="s">
        <v>214</v>
      </c>
      <c r="D39" s="30" t="s">
        <v>216</v>
      </c>
      <c r="E39" s="30" t="s">
        <v>385</v>
      </c>
      <c r="F39" s="30" t="s">
        <v>230</v>
      </c>
      <c r="G39" s="41">
        <f>G40</f>
        <v>660</v>
      </c>
      <c r="H39" s="41">
        <f>H40</f>
        <v>660</v>
      </c>
    </row>
    <row r="40" spans="1:8" x14ac:dyDescent="0.2">
      <c r="A40" s="84" t="s">
        <v>106</v>
      </c>
      <c r="B40" s="30" t="s">
        <v>697</v>
      </c>
      <c r="C40" s="30" t="s">
        <v>214</v>
      </c>
      <c r="D40" s="30" t="s">
        <v>216</v>
      </c>
      <c r="E40" s="30" t="s">
        <v>385</v>
      </c>
      <c r="F40" s="30" t="s">
        <v>231</v>
      </c>
      <c r="G40" s="41">
        <v>660</v>
      </c>
      <c r="H40" s="41">
        <v>660</v>
      </c>
    </row>
    <row r="41" spans="1:8" x14ac:dyDescent="0.2">
      <c r="A41" s="80" t="s">
        <v>508</v>
      </c>
      <c r="B41" s="24">
        <v>598</v>
      </c>
      <c r="C41" s="24" t="s">
        <v>214</v>
      </c>
      <c r="D41" s="24" t="s">
        <v>232</v>
      </c>
      <c r="E41" s="24"/>
      <c r="F41" s="24"/>
      <c r="G41" s="42">
        <f t="shared" ref="G41:H45" si="1">G42</f>
        <v>3000</v>
      </c>
      <c r="H41" s="42">
        <f t="shared" si="1"/>
        <v>3000</v>
      </c>
    </row>
    <row r="42" spans="1:8" x14ac:dyDescent="0.2">
      <c r="A42" s="81" t="s">
        <v>212</v>
      </c>
      <c r="B42" s="25">
        <v>598</v>
      </c>
      <c r="C42" s="25" t="s">
        <v>214</v>
      </c>
      <c r="D42" s="25" t="s">
        <v>232</v>
      </c>
      <c r="E42" s="25" t="s">
        <v>382</v>
      </c>
      <c r="F42" s="25"/>
      <c r="G42" s="45">
        <f t="shared" si="1"/>
        <v>3000</v>
      </c>
      <c r="H42" s="45">
        <f t="shared" si="1"/>
        <v>3000</v>
      </c>
    </row>
    <row r="43" spans="1:8" x14ac:dyDescent="0.2">
      <c r="A43" s="82" t="s">
        <v>476</v>
      </c>
      <c r="B43" s="24" t="s">
        <v>697</v>
      </c>
      <c r="C43" s="24" t="s">
        <v>214</v>
      </c>
      <c r="D43" s="24" t="s">
        <v>232</v>
      </c>
      <c r="E43" s="24" t="s">
        <v>383</v>
      </c>
      <c r="F43" s="24"/>
      <c r="G43" s="42">
        <f t="shared" si="1"/>
        <v>3000</v>
      </c>
      <c r="H43" s="42">
        <f t="shared" si="1"/>
        <v>3000</v>
      </c>
    </row>
    <row r="44" spans="1:8" x14ac:dyDescent="0.2">
      <c r="A44" s="84" t="s">
        <v>233</v>
      </c>
      <c r="B44" s="30">
        <v>598</v>
      </c>
      <c r="C44" s="30" t="s">
        <v>214</v>
      </c>
      <c r="D44" s="30" t="s">
        <v>232</v>
      </c>
      <c r="E44" s="30" t="s">
        <v>512</v>
      </c>
      <c r="F44" s="30"/>
      <c r="G44" s="41">
        <f t="shared" si="1"/>
        <v>3000</v>
      </c>
      <c r="H44" s="41">
        <f t="shared" si="1"/>
        <v>3000</v>
      </c>
    </row>
    <row r="45" spans="1:8" x14ac:dyDescent="0.2">
      <c r="A45" s="84" t="s">
        <v>229</v>
      </c>
      <c r="B45" s="30">
        <v>598</v>
      </c>
      <c r="C45" s="30" t="s">
        <v>214</v>
      </c>
      <c r="D45" s="30" t="s">
        <v>232</v>
      </c>
      <c r="E45" s="30" t="s">
        <v>512</v>
      </c>
      <c r="F45" s="30" t="s">
        <v>230</v>
      </c>
      <c r="G45" s="41">
        <f t="shared" si="1"/>
        <v>3000</v>
      </c>
      <c r="H45" s="41">
        <f t="shared" si="1"/>
        <v>3000</v>
      </c>
    </row>
    <row r="46" spans="1:8" x14ac:dyDescent="0.2">
      <c r="A46" s="84" t="s">
        <v>234</v>
      </c>
      <c r="B46" s="30">
        <v>598</v>
      </c>
      <c r="C46" s="30" t="s">
        <v>214</v>
      </c>
      <c r="D46" s="30" t="s">
        <v>232</v>
      </c>
      <c r="E46" s="30" t="s">
        <v>512</v>
      </c>
      <c r="F46" s="30" t="s">
        <v>736</v>
      </c>
      <c r="G46" s="41">
        <v>3000</v>
      </c>
      <c r="H46" s="41">
        <v>3000</v>
      </c>
    </row>
    <row r="47" spans="1:8" x14ac:dyDescent="0.2">
      <c r="A47" s="80" t="s">
        <v>509</v>
      </c>
      <c r="B47" s="24" t="s">
        <v>697</v>
      </c>
      <c r="C47" s="24" t="s">
        <v>214</v>
      </c>
      <c r="D47" s="24" t="s">
        <v>235</v>
      </c>
      <c r="E47" s="24"/>
      <c r="F47" s="24"/>
      <c r="G47" s="42">
        <f>G48+G72+G131</f>
        <v>91544</v>
      </c>
      <c r="H47" s="42">
        <f>H48+H72+H131</f>
        <v>91397</v>
      </c>
    </row>
    <row r="48" spans="1:8" x14ac:dyDescent="0.2">
      <c r="A48" s="81" t="s">
        <v>212</v>
      </c>
      <c r="B48" s="25">
        <v>598</v>
      </c>
      <c r="C48" s="25" t="s">
        <v>214</v>
      </c>
      <c r="D48" s="25" t="s">
        <v>235</v>
      </c>
      <c r="E48" s="25" t="s">
        <v>382</v>
      </c>
      <c r="F48" s="25"/>
      <c r="G48" s="45">
        <f>G49</f>
        <v>52054</v>
      </c>
      <c r="H48" s="45">
        <f>H49</f>
        <v>52054</v>
      </c>
    </row>
    <row r="49" spans="1:8" x14ac:dyDescent="0.2">
      <c r="A49" s="80" t="s">
        <v>476</v>
      </c>
      <c r="B49" s="24" t="s">
        <v>697</v>
      </c>
      <c r="C49" s="24" t="s">
        <v>214</v>
      </c>
      <c r="D49" s="24" t="s">
        <v>235</v>
      </c>
      <c r="E49" s="24" t="s">
        <v>383</v>
      </c>
      <c r="F49" s="24"/>
      <c r="G49" s="42">
        <f>G50+G68</f>
        <v>52054</v>
      </c>
      <c r="H49" s="42">
        <f>H50+H68</f>
        <v>52054</v>
      </c>
    </row>
    <row r="50" spans="1:8" ht="24" x14ac:dyDescent="0.2">
      <c r="A50" s="85" t="s">
        <v>819</v>
      </c>
      <c r="B50" s="33" t="s">
        <v>697</v>
      </c>
      <c r="C50" s="33" t="s">
        <v>214</v>
      </c>
      <c r="D50" s="33" t="s">
        <v>235</v>
      </c>
      <c r="E50" s="33" t="s">
        <v>383</v>
      </c>
      <c r="F50" s="25"/>
      <c r="G50" s="101">
        <f>G51+G58+G65</f>
        <v>49454</v>
      </c>
      <c r="H50" s="101">
        <f>H51+H58+H65</f>
        <v>49454</v>
      </c>
    </row>
    <row r="51" spans="1:8" ht="24" x14ac:dyDescent="0.2">
      <c r="A51" s="80" t="s">
        <v>173</v>
      </c>
      <c r="B51" s="24" t="s">
        <v>697</v>
      </c>
      <c r="C51" s="24" t="s">
        <v>214</v>
      </c>
      <c r="D51" s="24" t="s">
        <v>235</v>
      </c>
      <c r="E51" s="24" t="s">
        <v>513</v>
      </c>
      <c r="F51" s="24"/>
      <c r="G51" s="42">
        <f>G52+G54+G56</f>
        <v>41674</v>
      </c>
      <c r="H51" s="42">
        <f>H52+H54+H56</f>
        <v>41674</v>
      </c>
    </row>
    <row r="52" spans="1:8" ht="36" x14ac:dyDescent="0.2">
      <c r="A52" s="84" t="s">
        <v>217</v>
      </c>
      <c r="B52" s="30" t="s">
        <v>697</v>
      </c>
      <c r="C52" s="30" t="s">
        <v>214</v>
      </c>
      <c r="D52" s="30" t="s">
        <v>235</v>
      </c>
      <c r="E52" s="30" t="s">
        <v>513</v>
      </c>
      <c r="F52" s="30" t="s">
        <v>218</v>
      </c>
      <c r="G52" s="41">
        <f>G53</f>
        <v>35644</v>
      </c>
      <c r="H52" s="41">
        <f>H53</f>
        <v>35644</v>
      </c>
    </row>
    <row r="53" spans="1:8" x14ac:dyDescent="0.2">
      <c r="A53" s="84" t="s">
        <v>820</v>
      </c>
      <c r="B53" s="30" t="s">
        <v>697</v>
      </c>
      <c r="C53" s="30" t="s">
        <v>214</v>
      </c>
      <c r="D53" s="30" t="s">
        <v>235</v>
      </c>
      <c r="E53" s="30" t="s">
        <v>513</v>
      </c>
      <c r="F53" s="30" t="s">
        <v>821</v>
      </c>
      <c r="G53" s="41">
        <f>27340+8304</f>
        <v>35644</v>
      </c>
      <c r="H53" s="41">
        <f>27340+8304</f>
        <v>35644</v>
      </c>
    </row>
    <row r="54" spans="1:8" x14ac:dyDescent="0.2">
      <c r="A54" s="84" t="s">
        <v>473</v>
      </c>
      <c r="B54" s="30" t="s">
        <v>697</v>
      </c>
      <c r="C54" s="30" t="s">
        <v>214</v>
      </c>
      <c r="D54" s="30" t="s">
        <v>235</v>
      </c>
      <c r="E54" s="30" t="s">
        <v>513</v>
      </c>
      <c r="F54" s="30" t="s">
        <v>226</v>
      </c>
      <c r="G54" s="41">
        <f>G55</f>
        <v>5780</v>
      </c>
      <c r="H54" s="41">
        <f>H55</f>
        <v>5780</v>
      </c>
    </row>
    <row r="55" spans="1:8" ht="24" x14ac:dyDescent="0.2">
      <c r="A55" s="84" t="s">
        <v>227</v>
      </c>
      <c r="B55" s="30" t="s">
        <v>697</v>
      </c>
      <c r="C55" s="30" t="s">
        <v>214</v>
      </c>
      <c r="D55" s="30" t="s">
        <v>235</v>
      </c>
      <c r="E55" s="30" t="s">
        <v>513</v>
      </c>
      <c r="F55" s="30" t="s">
        <v>228</v>
      </c>
      <c r="G55" s="41">
        <f>130+150+5500</f>
        <v>5780</v>
      </c>
      <c r="H55" s="41">
        <f>130+150+5500</f>
        <v>5780</v>
      </c>
    </row>
    <row r="56" spans="1:8" x14ac:dyDescent="0.2">
      <c r="A56" s="84" t="s">
        <v>229</v>
      </c>
      <c r="B56" s="30" t="s">
        <v>697</v>
      </c>
      <c r="C56" s="30" t="s">
        <v>214</v>
      </c>
      <c r="D56" s="30" t="s">
        <v>235</v>
      </c>
      <c r="E56" s="30" t="s">
        <v>513</v>
      </c>
      <c r="F56" s="30" t="s">
        <v>230</v>
      </c>
      <c r="G56" s="41">
        <f>G57</f>
        <v>250</v>
      </c>
      <c r="H56" s="41">
        <f>H57</f>
        <v>250</v>
      </c>
    </row>
    <row r="57" spans="1:8" x14ac:dyDescent="0.2">
      <c r="A57" s="84" t="s">
        <v>106</v>
      </c>
      <c r="B57" s="30" t="s">
        <v>697</v>
      </c>
      <c r="C57" s="30" t="s">
        <v>214</v>
      </c>
      <c r="D57" s="30" t="s">
        <v>235</v>
      </c>
      <c r="E57" s="30" t="s">
        <v>513</v>
      </c>
      <c r="F57" s="30" t="s">
        <v>231</v>
      </c>
      <c r="G57" s="41">
        <v>250</v>
      </c>
      <c r="H57" s="41">
        <v>250</v>
      </c>
    </row>
    <row r="58" spans="1:8" x14ac:dyDescent="0.2">
      <c r="A58" s="80" t="s">
        <v>813</v>
      </c>
      <c r="B58" s="24" t="s">
        <v>697</v>
      </c>
      <c r="C58" s="24" t="s">
        <v>214</v>
      </c>
      <c r="D58" s="24" t="s">
        <v>235</v>
      </c>
      <c r="E58" s="24" t="s">
        <v>814</v>
      </c>
      <c r="F58" s="24"/>
      <c r="G58" s="42">
        <f>G59+G61+G63</f>
        <v>6180</v>
      </c>
      <c r="H58" s="42">
        <f>H59+H61+H63</f>
        <v>6180</v>
      </c>
    </row>
    <row r="59" spans="1:8" ht="36" x14ac:dyDescent="0.2">
      <c r="A59" s="84" t="s">
        <v>217</v>
      </c>
      <c r="B59" s="30" t="s">
        <v>697</v>
      </c>
      <c r="C59" s="30" t="s">
        <v>214</v>
      </c>
      <c r="D59" s="30" t="s">
        <v>235</v>
      </c>
      <c r="E59" s="30" t="s">
        <v>814</v>
      </c>
      <c r="F59" s="30" t="s">
        <v>218</v>
      </c>
      <c r="G59" s="41">
        <f>G60</f>
        <v>5995</v>
      </c>
      <c r="H59" s="41">
        <f>H60</f>
        <v>5995</v>
      </c>
    </row>
    <row r="60" spans="1:8" x14ac:dyDescent="0.2">
      <c r="A60" s="84" t="s">
        <v>820</v>
      </c>
      <c r="B60" s="30" t="s">
        <v>697</v>
      </c>
      <c r="C60" s="30" t="s">
        <v>214</v>
      </c>
      <c r="D60" s="30" t="s">
        <v>235</v>
      </c>
      <c r="E60" s="30" t="s">
        <v>814</v>
      </c>
      <c r="F60" s="30" t="s">
        <v>821</v>
      </c>
      <c r="G60" s="41">
        <f>5650+145+1700-1500</f>
        <v>5995</v>
      </c>
      <c r="H60" s="41">
        <f>5650+145+1700-1500</f>
        <v>5995</v>
      </c>
    </row>
    <row r="61" spans="1:8" x14ac:dyDescent="0.2">
      <c r="A61" s="84" t="s">
        <v>473</v>
      </c>
      <c r="B61" s="30" t="s">
        <v>697</v>
      </c>
      <c r="C61" s="30" t="s">
        <v>214</v>
      </c>
      <c r="D61" s="30" t="s">
        <v>235</v>
      </c>
      <c r="E61" s="30" t="s">
        <v>814</v>
      </c>
      <c r="F61" s="30" t="s">
        <v>226</v>
      </c>
      <c r="G61" s="41">
        <f>G62</f>
        <v>170</v>
      </c>
      <c r="H61" s="41">
        <f>H62</f>
        <v>170</v>
      </c>
    </row>
    <row r="62" spans="1:8" ht="24" x14ac:dyDescent="0.2">
      <c r="A62" s="84" t="s">
        <v>227</v>
      </c>
      <c r="B62" s="30" t="s">
        <v>697</v>
      </c>
      <c r="C62" s="30" t="s">
        <v>214</v>
      </c>
      <c r="D62" s="30" t="s">
        <v>235</v>
      </c>
      <c r="E62" s="30" t="s">
        <v>814</v>
      </c>
      <c r="F62" s="30" t="s">
        <v>228</v>
      </c>
      <c r="G62" s="41">
        <f>270-100</f>
        <v>170</v>
      </c>
      <c r="H62" s="41">
        <f>270-100</f>
        <v>170</v>
      </c>
    </row>
    <row r="63" spans="1:8" x14ac:dyDescent="0.2">
      <c r="A63" s="84" t="s">
        <v>229</v>
      </c>
      <c r="B63" s="30" t="s">
        <v>697</v>
      </c>
      <c r="C63" s="30" t="s">
        <v>214</v>
      </c>
      <c r="D63" s="30" t="s">
        <v>235</v>
      </c>
      <c r="E63" s="30" t="s">
        <v>814</v>
      </c>
      <c r="F63" s="30" t="s">
        <v>230</v>
      </c>
      <c r="G63" s="41">
        <f>G64</f>
        <v>15</v>
      </c>
      <c r="H63" s="41">
        <f>H64</f>
        <v>15</v>
      </c>
    </row>
    <row r="64" spans="1:8" x14ac:dyDescent="0.2">
      <c r="A64" s="84" t="s">
        <v>106</v>
      </c>
      <c r="B64" s="30" t="s">
        <v>697</v>
      </c>
      <c r="C64" s="30" t="s">
        <v>214</v>
      </c>
      <c r="D64" s="30" t="s">
        <v>235</v>
      </c>
      <c r="E64" s="30" t="s">
        <v>814</v>
      </c>
      <c r="F64" s="30" t="s">
        <v>231</v>
      </c>
      <c r="G64" s="41">
        <v>15</v>
      </c>
      <c r="H64" s="41">
        <v>15</v>
      </c>
    </row>
    <row r="65" spans="1:8" ht="24" x14ac:dyDescent="0.2">
      <c r="A65" s="80" t="s">
        <v>278</v>
      </c>
      <c r="B65" s="24" t="s">
        <v>697</v>
      </c>
      <c r="C65" s="24" t="s">
        <v>214</v>
      </c>
      <c r="D65" s="24" t="s">
        <v>235</v>
      </c>
      <c r="E65" s="24" t="s">
        <v>523</v>
      </c>
      <c r="F65" s="24"/>
      <c r="G65" s="42">
        <f>G66</f>
        <v>1600</v>
      </c>
      <c r="H65" s="42">
        <f>H66</f>
        <v>1600</v>
      </c>
    </row>
    <row r="66" spans="1:8" ht="24" x14ac:dyDescent="0.2">
      <c r="A66" s="84" t="s">
        <v>246</v>
      </c>
      <c r="B66" s="30" t="s">
        <v>697</v>
      </c>
      <c r="C66" s="30" t="s">
        <v>214</v>
      </c>
      <c r="D66" s="30" t="s">
        <v>235</v>
      </c>
      <c r="E66" s="30" t="s">
        <v>523</v>
      </c>
      <c r="F66" s="30" t="s">
        <v>702</v>
      </c>
      <c r="G66" s="41">
        <f>G67</f>
        <v>1600</v>
      </c>
      <c r="H66" s="41">
        <f>H67</f>
        <v>1600</v>
      </c>
    </row>
    <row r="67" spans="1:8" x14ac:dyDescent="0.2">
      <c r="A67" s="84" t="s">
        <v>247</v>
      </c>
      <c r="B67" s="30" t="s">
        <v>697</v>
      </c>
      <c r="C67" s="30" t="s">
        <v>214</v>
      </c>
      <c r="D67" s="30" t="s">
        <v>235</v>
      </c>
      <c r="E67" s="30" t="s">
        <v>523</v>
      </c>
      <c r="F67" s="30" t="s">
        <v>724</v>
      </c>
      <c r="G67" s="41">
        <v>1600</v>
      </c>
      <c r="H67" s="41">
        <v>1600</v>
      </c>
    </row>
    <row r="68" spans="1:8" x14ac:dyDescent="0.2">
      <c r="A68" s="80" t="s">
        <v>510</v>
      </c>
      <c r="B68" s="24" t="s">
        <v>697</v>
      </c>
      <c r="C68" s="24" t="s">
        <v>214</v>
      </c>
      <c r="D68" s="24" t="s">
        <v>235</v>
      </c>
      <c r="E68" s="43" t="s">
        <v>147</v>
      </c>
      <c r="F68" s="24"/>
      <c r="G68" s="117">
        <f>G69</f>
        <v>2600</v>
      </c>
      <c r="H68" s="117">
        <f>H69</f>
        <v>2600</v>
      </c>
    </row>
    <row r="69" spans="1:8" x14ac:dyDescent="0.2">
      <c r="A69" s="84" t="s">
        <v>229</v>
      </c>
      <c r="B69" s="30" t="s">
        <v>697</v>
      </c>
      <c r="C69" s="30" t="s">
        <v>214</v>
      </c>
      <c r="D69" s="30" t="s">
        <v>235</v>
      </c>
      <c r="E69" s="40" t="s">
        <v>147</v>
      </c>
      <c r="F69" s="30" t="s">
        <v>230</v>
      </c>
      <c r="G69" s="118">
        <f>G70+G71</f>
        <v>2600</v>
      </c>
      <c r="H69" s="118">
        <f>H70+H71</f>
        <v>2600</v>
      </c>
    </row>
    <row r="70" spans="1:8" x14ac:dyDescent="0.2">
      <c r="A70" s="84" t="s">
        <v>306</v>
      </c>
      <c r="B70" s="30" t="s">
        <v>697</v>
      </c>
      <c r="C70" s="30" t="s">
        <v>214</v>
      </c>
      <c r="D70" s="30" t="s">
        <v>235</v>
      </c>
      <c r="E70" s="40" t="s">
        <v>147</v>
      </c>
      <c r="F70" s="30" t="s">
        <v>310</v>
      </c>
      <c r="G70" s="118">
        <v>2590</v>
      </c>
      <c r="H70" s="118">
        <v>2590</v>
      </c>
    </row>
    <row r="71" spans="1:8" x14ac:dyDescent="0.2">
      <c r="A71" s="84" t="s">
        <v>106</v>
      </c>
      <c r="B71" s="30" t="s">
        <v>697</v>
      </c>
      <c r="C71" s="30" t="s">
        <v>214</v>
      </c>
      <c r="D71" s="30" t="s">
        <v>235</v>
      </c>
      <c r="E71" s="40" t="s">
        <v>147</v>
      </c>
      <c r="F71" s="30" t="s">
        <v>231</v>
      </c>
      <c r="G71" s="118">
        <v>10</v>
      </c>
      <c r="H71" s="118">
        <v>10</v>
      </c>
    </row>
    <row r="72" spans="1:8" ht="27" x14ac:dyDescent="0.2">
      <c r="A72" s="86" t="s">
        <v>551</v>
      </c>
      <c r="B72" s="53" t="s">
        <v>697</v>
      </c>
      <c r="C72" s="53" t="s">
        <v>214</v>
      </c>
      <c r="D72" s="53" t="s">
        <v>235</v>
      </c>
      <c r="E72" s="59" t="s">
        <v>386</v>
      </c>
      <c r="F72" s="58"/>
      <c r="G72" s="57">
        <f>G73+G80+G108+G124</f>
        <v>37770</v>
      </c>
      <c r="H72" s="57">
        <f>H73+H80+H108+H124</f>
        <v>39343</v>
      </c>
    </row>
    <row r="73" spans="1:8" ht="40.5" x14ac:dyDescent="0.2">
      <c r="A73" s="98" t="s">
        <v>337</v>
      </c>
      <c r="B73" s="53" t="s">
        <v>697</v>
      </c>
      <c r="C73" s="53" t="s">
        <v>214</v>
      </c>
      <c r="D73" s="53" t="s">
        <v>235</v>
      </c>
      <c r="E73" s="93" t="s">
        <v>338</v>
      </c>
      <c r="F73" s="58"/>
      <c r="G73" s="57">
        <f>G77+G74</f>
        <v>2100</v>
      </c>
      <c r="H73" s="57">
        <f>H77+H74</f>
        <v>3320</v>
      </c>
    </row>
    <row r="74" spans="1:8" ht="24" x14ac:dyDescent="0.2">
      <c r="A74" s="75" t="s">
        <v>569</v>
      </c>
      <c r="B74" s="24" t="s">
        <v>697</v>
      </c>
      <c r="C74" s="24" t="s">
        <v>214</v>
      </c>
      <c r="D74" s="24" t="s">
        <v>235</v>
      </c>
      <c r="E74" s="43" t="s">
        <v>570</v>
      </c>
      <c r="F74" s="37"/>
      <c r="G74" s="117">
        <f>G75</f>
        <v>0</v>
      </c>
      <c r="H74" s="117">
        <f>H75</f>
        <v>989</v>
      </c>
    </row>
    <row r="75" spans="1:8" x14ac:dyDescent="0.2">
      <c r="A75" s="84" t="s">
        <v>473</v>
      </c>
      <c r="B75" s="30" t="s">
        <v>697</v>
      </c>
      <c r="C75" s="30" t="s">
        <v>214</v>
      </c>
      <c r="D75" s="30" t="s">
        <v>235</v>
      </c>
      <c r="E75" s="40" t="s">
        <v>570</v>
      </c>
      <c r="F75" s="31">
        <v>200</v>
      </c>
      <c r="G75" s="118">
        <f>G76</f>
        <v>0</v>
      </c>
      <c r="H75" s="118">
        <f>H76</f>
        <v>989</v>
      </c>
    </row>
    <row r="76" spans="1:8" ht="24" x14ac:dyDescent="0.2">
      <c r="A76" s="84" t="s">
        <v>227</v>
      </c>
      <c r="B76" s="30" t="s">
        <v>697</v>
      </c>
      <c r="C76" s="30" t="s">
        <v>214</v>
      </c>
      <c r="D76" s="30" t="s">
        <v>235</v>
      </c>
      <c r="E76" s="40" t="s">
        <v>570</v>
      </c>
      <c r="F76" s="31">
        <v>240</v>
      </c>
      <c r="G76" s="118">
        <v>0</v>
      </c>
      <c r="H76" s="118">
        <v>989</v>
      </c>
    </row>
    <row r="77" spans="1:8" ht="24" x14ac:dyDescent="0.2">
      <c r="A77" s="75" t="s">
        <v>339</v>
      </c>
      <c r="B77" s="24" t="s">
        <v>697</v>
      </c>
      <c r="C77" s="24" t="s">
        <v>214</v>
      </c>
      <c r="D77" s="24" t="s">
        <v>235</v>
      </c>
      <c r="E77" s="43" t="s">
        <v>279</v>
      </c>
      <c r="F77" s="37"/>
      <c r="G77" s="117">
        <f>G78</f>
        <v>2100</v>
      </c>
      <c r="H77" s="117">
        <f>H78</f>
        <v>2331</v>
      </c>
    </row>
    <row r="78" spans="1:8" x14ac:dyDescent="0.2">
      <c r="A78" s="84" t="s">
        <v>473</v>
      </c>
      <c r="B78" s="30" t="s">
        <v>697</v>
      </c>
      <c r="C78" s="30" t="s">
        <v>214</v>
      </c>
      <c r="D78" s="30" t="s">
        <v>235</v>
      </c>
      <c r="E78" s="40" t="s">
        <v>279</v>
      </c>
      <c r="F78" s="31">
        <v>200</v>
      </c>
      <c r="G78" s="118">
        <f>G79</f>
        <v>2100</v>
      </c>
      <c r="H78" s="118">
        <f>H79</f>
        <v>2331</v>
      </c>
    </row>
    <row r="79" spans="1:8" ht="24" x14ac:dyDescent="0.2">
      <c r="A79" s="84" t="s">
        <v>227</v>
      </c>
      <c r="B79" s="30" t="s">
        <v>697</v>
      </c>
      <c r="C79" s="30" t="s">
        <v>214</v>
      </c>
      <c r="D79" s="30" t="s">
        <v>235</v>
      </c>
      <c r="E79" s="40" t="s">
        <v>279</v>
      </c>
      <c r="F79" s="31">
        <v>240</v>
      </c>
      <c r="G79" s="118">
        <v>2100</v>
      </c>
      <c r="H79" s="118">
        <v>2331</v>
      </c>
    </row>
    <row r="80" spans="1:8" ht="27" x14ac:dyDescent="0.2">
      <c r="A80" s="98" t="s">
        <v>181</v>
      </c>
      <c r="B80" s="53" t="s">
        <v>697</v>
      </c>
      <c r="C80" s="53" t="s">
        <v>214</v>
      </c>
      <c r="D80" s="53" t="s">
        <v>235</v>
      </c>
      <c r="E80" s="93" t="s">
        <v>420</v>
      </c>
      <c r="F80" s="58"/>
      <c r="G80" s="57">
        <f>G81+G84+G87+G90+G93+G96+G99+G102+G105</f>
        <v>7762</v>
      </c>
      <c r="H80" s="57">
        <f>H81+H84+H87+H90+H93+H96+H99+H102+H105</f>
        <v>7392</v>
      </c>
    </row>
    <row r="81" spans="1:8" ht="24" x14ac:dyDescent="0.2">
      <c r="A81" s="75" t="s">
        <v>154</v>
      </c>
      <c r="B81" s="24" t="s">
        <v>697</v>
      </c>
      <c r="C81" s="24" t="s">
        <v>214</v>
      </c>
      <c r="D81" s="24" t="s">
        <v>235</v>
      </c>
      <c r="E81" s="43" t="s">
        <v>182</v>
      </c>
      <c r="F81" s="37"/>
      <c r="G81" s="42">
        <f>G82</f>
        <v>920</v>
      </c>
      <c r="H81" s="42">
        <f>H82</f>
        <v>1195</v>
      </c>
    </row>
    <row r="82" spans="1:8" x14ac:dyDescent="0.2">
      <c r="A82" s="84" t="s">
        <v>473</v>
      </c>
      <c r="B82" s="30" t="s">
        <v>697</v>
      </c>
      <c r="C82" s="30" t="s">
        <v>214</v>
      </c>
      <c r="D82" s="30" t="s">
        <v>235</v>
      </c>
      <c r="E82" s="40" t="s">
        <v>182</v>
      </c>
      <c r="F82" s="31">
        <v>200</v>
      </c>
      <c r="G82" s="41">
        <f>G83</f>
        <v>920</v>
      </c>
      <c r="H82" s="41">
        <f>H83</f>
        <v>1195</v>
      </c>
    </row>
    <row r="83" spans="1:8" ht="24" x14ac:dyDescent="0.2">
      <c r="A83" s="84" t="s">
        <v>227</v>
      </c>
      <c r="B83" s="30" t="s">
        <v>697</v>
      </c>
      <c r="C83" s="30" t="s">
        <v>214</v>
      </c>
      <c r="D83" s="30" t="s">
        <v>235</v>
      </c>
      <c r="E83" s="40" t="s">
        <v>182</v>
      </c>
      <c r="F83" s="31">
        <v>240</v>
      </c>
      <c r="G83" s="41">
        <f>2120-161-1039</f>
        <v>920</v>
      </c>
      <c r="H83" s="41">
        <f>2354-120-1039</f>
        <v>1195</v>
      </c>
    </row>
    <row r="84" spans="1:8" ht="24" x14ac:dyDescent="0.2">
      <c r="A84" s="75" t="s">
        <v>155</v>
      </c>
      <c r="B84" s="24" t="s">
        <v>697</v>
      </c>
      <c r="C84" s="24" t="s">
        <v>214</v>
      </c>
      <c r="D84" s="24" t="s">
        <v>235</v>
      </c>
      <c r="E84" s="43" t="s">
        <v>183</v>
      </c>
      <c r="F84" s="31"/>
      <c r="G84" s="42">
        <f>G85</f>
        <v>536</v>
      </c>
      <c r="H84" s="42">
        <f>H85</f>
        <v>537</v>
      </c>
    </row>
    <row r="85" spans="1:8" x14ac:dyDescent="0.2">
      <c r="A85" s="84" t="s">
        <v>473</v>
      </c>
      <c r="B85" s="30" t="s">
        <v>697</v>
      </c>
      <c r="C85" s="30" t="s">
        <v>214</v>
      </c>
      <c r="D85" s="30" t="s">
        <v>235</v>
      </c>
      <c r="E85" s="40" t="s">
        <v>183</v>
      </c>
      <c r="F85" s="31">
        <v>200</v>
      </c>
      <c r="G85" s="41">
        <f>G86</f>
        <v>536</v>
      </c>
      <c r="H85" s="41">
        <f>H86</f>
        <v>537</v>
      </c>
    </row>
    <row r="86" spans="1:8" ht="24" x14ac:dyDescent="0.2">
      <c r="A86" s="84" t="s">
        <v>227</v>
      </c>
      <c r="B86" s="30" t="s">
        <v>697</v>
      </c>
      <c r="C86" s="30" t="s">
        <v>214</v>
      </c>
      <c r="D86" s="30" t="s">
        <v>235</v>
      </c>
      <c r="E86" s="40" t="s">
        <v>183</v>
      </c>
      <c r="F86" s="31">
        <v>240</v>
      </c>
      <c r="G86" s="41">
        <f>375+161</f>
        <v>536</v>
      </c>
      <c r="H86" s="41">
        <f>417+120</f>
        <v>537</v>
      </c>
    </row>
    <row r="87" spans="1:8" ht="24" x14ac:dyDescent="0.2">
      <c r="A87" s="75" t="s">
        <v>571</v>
      </c>
      <c r="B87" s="24" t="s">
        <v>697</v>
      </c>
      <c r="C87" s="24" t="s">
        <v>214</v>
      </c>
      <c r="D87" s="24" t="s">
        <v>235</v>
      </c>
      <c r="E87" s="43" t="s">
        <v>572</v>
      </c>
      <c r="F87" s="31"/>
      <c r="G87" s="117">
        <f>G88</f>
        <v>1210</v>
      </c>
      <c r="H87" s="117">
        <f>H88</f>
        <v>0</v>
      </c>
    </row>
    <row r="88" spans="1:8" x14ac:dyDescent="0.2">
      <c r="A88" s="84" t="s">
        <v>473</v>
      </c>
      <c r="B88" s="30" t="s">
        <v>697</v>
      </c>
      <c r="C88" s="30" t="s">
        <v>214</v>
      </c>
      <c r="D88" s="30" t="s">
        <v>235</v>
      </c>
      <c r="E88" s="40" t="s">
        <v>572</v>
      </c>
      <c r="F88" s="31">
        <v>200</v>
      </c>
      <c r="G88" s="118">
        <f>G89</f>
        <v>1210</v>
      </c>
      <c r="H88" s="118">
        <f>H89</f>
        <v>0</v>
      </c>
    </row>
    <row r="89" spans="1:8" ht="24" x14ac:dyDescent="0.2">
      <c r="A89" s="84" t="s">
        <v>227</v>
      </c>
      <c r="B89" s="30" t="s">
        <v>697</v>
      </c>
      <c r="C89" s="30" t="s">
        <v>214</v>
      </c>
      <c r="D89" s="30" t="s">
        <v>235</v>
      </c>
      <c r="E89" s="40" t="s">
        <v>572</v>
      </c>
      <c r="F89" s="31">
        <v>240</v>
      </c>
      <c r="G89" s="118">
        <v>1210</v>
      </c>
      <c r="H89" s="118">
        <v>0</v>
      </c>
    </row>
    <row r="90" spans="1:8" ht="36" x14ac:dyDescent="0.2">
      <c r="A90" s="75" t="s">
        <v>156</v>
      </c>
      <c r="B90" s="24" t="s">
        <v>697</v>
      </c>
      <c r="C90" s="24" t="s">
        <v>214</v>
      </c>
      <c r="D90" s="24" t="s">
        <v>235</v>
      </c>
      <c r="E90" s="43" t="s">
        <v>184</v>
      </c>
      <c r="F90" s="31"/>
      <c r="G90" s="42">
        <f>G91</f>
        <v>424</v>
      </c>
      <c r="H90" s="42">
        <f>H91</f>
        <v>471</v>
      </c>
    </row>
    <row r="91" spans="1:8" x14ac:dyDescent="0.2">
      <c r="A91" s="84" t="s">
        <v>473</v>
      </c>
      <c r="B91" s="30" t="s">
        <v>697</v>
      </c>
      <c r="C91" s="30" t="s">
        <v>214</v>
      </c>
      <c r="D91" s="30" t="s">
        <v>235</v>
      </c>
      <c r="E91" s="40" t="s">
        <v>184</v>
      </c>
      <c r="F91" s="31">
        <v>200</v>
      </c>
      <c r="G91" s="41">
        <f>G92</f>
        <v>424</v>
      </c>
      <c r="H91" s="41">
        <f>H92</f>
        <v>471</v>
      </c>
    </row>
    <row r="92" spans="1:8" ht="24" x14ac:dyDescent="0.2">
      <c r="A92" s="84" t="s">
        <v>227</v>
      </c>
      <c r="B92" s="30" t="s">
        <v>697</v>
      </c>
      <c r="C92" s="30" t="s">
        <v>214</v>
      </c>
      <c r="D92" s="30" t="s">
        <v>235</v>
      </c>
      <c r="E92" s="40" t="s">
        <v>184</v>
      </c>
      <c r="F92" s="31">
        <v>240</v>
      </c>
      <c r="G92" s="41">
        <v>424</v>
      </c>
      <c r="H92" s="41">
        <v>471</v>
      </c>
    </row>
    <row r="93" spans="1:8" x14ac:dyDescent="0.2">
      <c r="A93" s="75" t="s">
        <v>157</v>
      </c>
      <c r="B93" s="24" t="s">
        <v>697</v>
      </c>
      <c r="C93" s="24" t="s">
        <v>214</v>
      </c>
      <c r="D93" s="24" t="s">
        <v>235</v>
      </c>
      <c r="E93" s="43" t="s">
        <v>185</v>
      </c>
      <c r="F93" s="31"/>
      <c r="G93" s="42">
        <f>G94</f>
        <v>332</v>
      </c>
      <c r="H93" s="42">
        <f>H94</f>
        <v>369</v>
      </c>
    </row>
    <row r="94" spans="1:8" x14ac:dyDescent="0.2">
      <c r="A94" s="84" t="s">
        <v>473</v>
      </c>
      <c r="B94" s="30" t="s">
        <v>697</v>
      </c>
      <c r="C94" s="30" t="s">
        <v>214</v>
      </c>
      <c r="D94" s="30" t="s">
        <v>235</v>
      </c>
      <c r="E94" s="40" t="s">
        <v>185</v>
      </c>
      <c r="F94" s="31">
        <v>200</v>
      </c>
      <c r="G94" s="41">
        <f>G95</f>
        <v>332</v>
      </c>
      <c r="H94" s="41">
        <f>H95</f>
        <v>369</v>
      </c>
    </row>
    <row r="95" spans="1:8" ht="24" x14ac:dyDescent="0.2">
      <c r="A95" s="84" t="s">
        <v>227</v>
      </c>
      <c r="B95" s="30" t="s">
        <v>697</v>
      </c>
      <c r="C95" s="30" t="s">
        <v>214</v>
      </c>
      <c r="D95" s="30" t="s">
        <v>235</v>
      </c>
      <c r="E95" s="40" t="s">
        <v>185</v>
      </c>
      <c r="F95" s="31">
        <v>240</v>
      </c>
      <c r="G95" s="41">
        <v>332</v>
      </c>
      <c r="H95" s="41">
        <v>369</v>
      </c>
    </row>
    <row r="96" spans="1:8" ht="24" x14ac:dyDescent="0.2">
      <c r="A96" s="75" t="s">
        <v>158</v>
      </c>
      <c r="B96" s="24" t="s">
        <v>697</v>
      </c>
      <c r="C96" s="24" t="s">
        <v>214</v>
      </c>
      <c r="D96" s="24" t="s">
        <v>235</v>
      </c>
      <c r="E96" s="43" t="s">
        <v>186</v>
      </c>
      <c r="F96" s="31"/>
      <c r="G96" s="42">
        <f>G97</f>
        <v>876</v>
      </c>
      <c r="H96" s="42">
        <f>H97</f>
        <v>973</v>
      </c>
    </row>
    <row r="97" spans="1:8" x14ac:dyDescent="0.2">
      <c r="A97" s="84" t="s">
        <v>473</v>
      </c>
      <c r="B97" s="30" t="s">
        <v>697</v>
      </c>
      <c r="C97" s="30" t="s">
        <v>214</v>
      </c>
      <c r="D97" s="30" t="s">
        <v>235</v>
      </c>
      <c r="E97" s="40" t="s">
        <v>186</v>
      </c>
      <c r="F97" s="31">
        <v>200</v>
      </c>
      <c r="G97" s="41">
        <f>G98</f>
        <v>876</v>
      </c>
      <c r="H97" s="41">
        <f>H98</f>
        <v>973</v>
      </c>
    </row>
    <row r="98" spans="1:8" ht="24" x14ac:dyDescent="0.2">
      <c r="A98" s="84" t="s">
        <v>227</v>
      </c>
      <c r="B98" s="30" t="s">
        <v>697</v>
      </c>
      <c r="C98" s="30" t="s">
        <v>214</v>
      </c>
      <c r="D98" s="30" t="s">
        <v>235</v>
      </c>
      <c r="E98" s="40" t="s">
        <v>186</v>
      </c>
      <c r="F98" s="31">
        <v>240</v>
      </c>
      <c r="G98" s="41">
        <v>876</v>
      </c>
      <c r="H98" s="41">
        <v>973</v>
      </c>
    </row>
    <row r="99" spans="1:8" x14ac:dyDescent="0.2">
      <c r="A99" s="75" t="s">
        <v>424</v>
      </c>
      <c r="B99" s="24" t="s">
        <v>697</v>
      </c>
      <c r="C99" s="24" t="s">
        <v>214</v>
      </c>
      <c r="D99" s="24" t="s">
        <v>235</v>
      </c>
      <c r="E99" s="43" t="s">
        <v>187</v>
      </c>
      <c r="F99" s="31"/>
      <c r="G99" s="42">
        <f>G100</f>
        <v>1029</v>
      </c>
      <c r="H99" s="42">
        <f>H100</f>
        <v>1143</v>
      </c>
    </row>
    <row r="100" spans="1:8" x14ac:dyDescent="0.2">
      <c r="A100" s="84" t="s">
        <v>473</v>
      </c>
      <c r="B100" s="30" t="s">
        <v>697</v>
      </c>
      <c r="C100" s="30" t="s">
        <v>214</v>
      </c>
      <c r="D100" s="30" t="s">
        <v>235</v>
      </c>
      <c r="E100" s="40" t="s">
        <v>187</v>
      </c>
      <c r="F100" s="31">
        <v>200</v>
      </c>
      <c r="G100" s="41">
        <f>G101</f>
        <v>1029</v>
      </c>
      <c r="H100" s="41">
        <f>H101</f>
        <v>1143</v>
      </c>
    </row>
    <row r="101" spans="1:8" ht="24" x14ac:dyDescent="0.2">
      <c r="A101" s="84" t="s">
        <v>227</v>
      </c>
      <c r="B101" s="30" t="s">
        <v>697</v>
      </c>
      <c r="C101" s="30" t="s">
        <v>214</v>
      </c>
      <c r="D101" s="30" t="s">
        <v>235</v>
      </c>
      <c r="E101" s="40" t="s">
        <v>187</v>
      </c>
      <c r="F101" s="31">
        <v>240</v>
      </c>
      <c r="G101" s="41">
        <v>1029</v>
      </c>
      <c r="H101" s="41">
        <v>1143</v>
      </c>
    </row>
    <row r="102" spans="1:8" x14ac:dyDescent="0.2">
      <c r="A102" s="80" t="s">
        <v>159</v>
      </c>
      <c r="B102" s="24" t="s">
        <v>697</v>
      </c>
      <c r="C102" s="24" t="s">
        <v>214</v>
      </c>
      <c r="D102" s="24" t="s">
        <v>235</v>
      </c>
      <c r="E102" s="43" t="s">
        <v>188</v>
      </c>
      <c r="F102" s="31"/>
      <c r="G102" s="42">
        <f>G103</f>
        <v>1315</v>
      </c>
      <c r="H102" s="42">
        <f>H103</f>
        <v>1460</v>
      </c>
    </row>
    <row r="103" spans="1:8" x14ac:dyDescent="0.2">
      <c r="A103" s="84" t="s">
        <v>473</v>
      </c>
      <c r="B103" s="30" t="s">
        <v>697</v>
      </c>
      <c r="C103" s="30" t="s">
        <v>214</v>
      </c>
      <c r="D103" s="30" t="s">
        <v>235</v>
      </c>
      <c r="E103" s="40" t="s">
        <v>188</v>
      </c>
      <c r="F103" s="31">
        <v>200</v>
      </c>
      <c r="G103" s="41">
        <f>G104</f>
        <v>1315</v>
      </c>
      <c r="H103" s="41">
        <f>H104</f>
        <v>1460</v>
      </c>
    </row>
    <row r="104" spans="1:8" ht="24" x14ac:dyDescent="0.2">
      <c r="A104" s="84" t="s">
        <v>227</v>
      </c>
      <c r="B104" s="30" t="s">
        <v>697</v>
      </c>
      <c r="C104" s="30" t="s">
        <v>214</v>
      </c>
      <c r="D104" s="30" t="s">
        <v>235</v>
      </c>
      <c r="E104" s="40" t="s">
        <v>188</v>
      </c>
      <c r="F104" s="31">
        <v>240</v>
      </c>
      <c r="G104" s="41">
        <v>1315</v>
      </c>
      <c r="H104" s="41">
        <v>1460</v>
      </c>
    </row>
    <row r="105" spans="1:8" ht="24" x14ac:dyDescent="0.2">
      <c r="A105" s="80" t="s">
        <v>421</v>
      </c>
      <c r="B105" s="24" t="s">
        <v>697</v>
      </c>
      <c r="C105" s="24" t="s">
        <v>214</v>
      </c>
      <c r="D105" s="24" t="s">
        <v>235</v>
      </c>
      <c r="E105" s="43" t="s">
        <v>189</v>
      </c>
      <c r="F105" s="37"/>
      <c r="G105" s="117">
        <f>G106</f>
        <v>1120</v>
      </c>
      <c r="H105" s="117">
        <f>H106</f>
        <v>1244</v>
      </c>
    </row>
    <row r="106" spans="1:8" x14ac:dyDescent="0.2">
      <c r="A106" s="84" t="s">
        <v>473</v>
      </c>
      <c r="B106" s="30" t="s">
        <v>697</v>
      </c>
      <c r="C106" s="30" t="s">
        <v>214</v>
      </c>
      <c r="D106" s="30" t="s">
        <v>235</v>
      </c>
      <c r="E106" s="40" t="s">
        <v>189</v>
      </c>
      <c r="F106" s="31">
        <v>200</v>
      </c>
      <c r="G106" s="118">
        <f>G107</f>
        <v>1120</v>
      </c>
      <c r="H106" s="118">
        <f>H107</f>
        <v>1244</v>
      </c>
    </row>
    <row r="107" spans="1:8" ht="24" x14ac:dyDescent="0.2">
      <c r="A107" s="84" t="s">
        <v>227</v>
      </c>
      <c r="B107" s="30" t="s">
        <v>697</v>
      </c>
      <c r="C107" s="30" t="s">
        <v>214</v>
      </c>
      <c r="D107" s="30" t="s">
        <v>235</v>
      </c>
      <c r="E107" s="40" t="s">
        <v>189</v>
      </c>
      <c r="F107" s="31">
        <v>240</v>
      </c>
      <c r="G107" s="118">
        <v>1120</v>
      </c>
      <c r="H107" s="118">
        <v>1244</v>
      </c>
    </row>
    <row r="108" spans="1:8" ht="13.5" x14ac:dyDescent="0.2">
      <c r="A108" s="86" t="s">
        <v>160</v>
      </c>
      <c r="B108" s="53" t="s">
        <v>697</v>
      </c>
      <c r="C108" s="53" t="s">
        <v>214</v>
      </c>
      <c r="D108" s="53" t="s">
        <v>235</v>
      </c>
      <c r="E108" s="93" t="s">
        <v>161</v>
      </c>
      <c r="F108" s="58"/>
      <c r="G108" s="57">
        <f>G109+G112+G115+G118+G121</f>
        <v>2526</v>
      </c>
      <c r="H108" s="57">
        <f>H109+H112+H115+H118+H121</f>
        <v>3249</v>
      </c>
    </row>
    <row r="109" spans="1:8" x14ac:dyDescent="0.2">
      <c r="A109" s="80" t="s">
        <v>422</v>
      </c>
      <c r="B109" s="24" t="s">
        <v>697</v>
      </c>
      <c r="C109" s="24" t="s">
        <v>214</v>
      </c>
      <c r="D109" s="24" t="s">
        <v>235</v>
      </c>
      <c r="E109" s="24" t="s">
        <v>190</v>
      </c>
      <c r="F109" s="37"/>
      <c r="G109" s="42">
        <f>G110</f>
        <v>400</v>
      </c>
      <c r="H109" s="42">
        <f>H110</f>
        <v>444</v>
      </c>
    </row>
    <row r="110" spans="1:8" x14ac:dyDescent="0.2">
      <c r="A110" s="84" t="s">
        <v>473</v>
      </c>
      <c r="B110" s="30" t="s">
        <v>697</v>
      </c>
      <c r="C110" s="30" t="s">
        <v>214</v>
      </c>
      <c r="D110" s="30" t="s">
        <v>235</v>
      </c>
      <c r="E110" s="40" t="s">
        <v>190</v>
      </c>
      <c r="F110" s="31">
        <v>200</v>
      </c>
      <c r="G110" s="41">
        <f>G111</f>
        <v>400</v>
      </c>
      <c r="H110" s="41">
        <f>H111</f>
        <v>444</v>
      </c>
    </row>
    <row r="111" spans="1:8" ht="24" x14ac:dyDescent="0.2">
      <c r="A111" s="84" t="s">
        <v>227</v>
      </c>
      <c r="B111" s="30" t="s">
        <v>697</v>
      </c>
      <c r="C111" s="30" t="s">
        <v>214</v>
      </c>
      <c r="D111" s="30" t="s">
        <v>235</v>
      </c>
      <c r="E111" s="40" t="s">
        <v>190</v>
      </c>
      <c r="F111" s="31">
        <v>240</v>
      </c>
      <c r="G111" s="41">
        <v>400</v>
      </c>
      <c r="H111" s="41">
        <v>444</v>
      </c>
    </row>
    <row r="112" spans="1:8" x14ac:dyDescent="0.2">
      <c r="A112" s="75" t="s">
        <v>573</v>
      </c>
      <c r="B112" s="24" t="s">
        <v>697</v>
      </c>
      <c r="C112" s="24" t="s">
        <v>214</v>
      </c>
      <c r="D112" s="24" t="s">
        <v>235</v>
      </c>
      <c r="E112" s="24" t="s">
        <v>574</v>
      </c>
      <c r="F112" s="37"/>
      <c r="G112" s="42">
        <f>G113</f>
        <v>946</v>
      </c>
      <c r="H112" s="42">
        <f>H113</f>
        <v>1050</v>
      </c>
    </row>
    <row r="113" spans="1:8" x14ac:dyDescent="0.2">
      <c r="A113" s="84" t="s">
        <v>473</v>
      </c>
      <c r="B113" s="30" t="s">
        <v>697</v>
      </c>
      <c r="C113" s="30" t="s">
        <v>214</v>
      </c>
      <c r="D113" s="30" t="s">
        <v>235</v>
      </c>
      <c r="E113" s="40" t="s">
        <v>574</v>
      </c>
      <c r="F113" s="31">
        <v>200</v>
      </c>
      <c r="G113" s="41">
        <f>G114</f>
        <v>946</v>
      </c>
      <c r="H113" s="41">
        <f>H114</f>
        <v>1050</v>
      </c>
    </row>
    <row r="114" spans="1:8" ht="24" x14ac:dyDescent="0.2">
      <c r="A114" s="84" t="s">
        <v>227</v>
      </c>
      <c r="B114" s="30" t="s">
        <v>697</v>
      </c>
      <c r="C114" s="30" t="s">
        <v>214</v>
      </c>
      <c r="D114" s="30" t="s">
        <v>235</v>
      </c>
      <c r="E114" s="40" t="s">
        <v>574</v>
      </c>
      <c r="F114" s="31">
        <v>240</v>
      </c>
      <c r="G114" s="41">
        <v>946</v>
      </c>
      <c r="H114" s="41">
        <v>1050</v>
      </c>
    </row>
    <row r="115" spans="1:8" ht="24" x14ac:dyDescent="0.2">
      <c r="A115" s="75" t="s">
        <v>575</v>
      </c>
      <c r="B115" s="24" t="s">
        <v>697</v>
      </c>
      <c r="C115" s="24" t="s">
        <v>214</v>
      </c>
      <c r="D115" s="24" t="s">
        <v>235</v>
      </c>
      <c r="E115" s="24" t="s">
        <v>576</v>
      </c>
      <c r="F115" s="37"/>
      <c r="G115" s="42">
        <f>G116</f>
        <v>152</v>
      </c>
      <c r="H115" s="42">
        <f>H116</f>
        <v>169</v>
      </c>
    </row>
    <row r="116" spans="1:8" x14ac:dyDescent="0.2">
      <c r="A116" s="84" t="s">
        <v>473</v>
      </c>
      <c r="B116" s="30" t="s">
        <v>697</v>
      </c>
      <c r="C116" s="30" t="s">
        <v>214</v>
      </c>
      <c r="D116" s="30" t="s">
        <v>235</v>
      </c>
      <c r="E116" s="40" t="s">
        <v>576</v>
      </c>
      <c r="F116" s="31">
        <v>200</v>
      </c>
      <c r="G116" s="41">
        <f>G117</f>
        <v>152</v>
      </c>
      <c r="H116" s="41">
        <f>H117</f>
        <v>169</v>
      </c>
    </row>
    <row r="117" spans="1:8" ht="24" x14ac:dyDescent="0.2">
      <c r="A117" s="84" t="s">
        <v>227</v>
      </c>
      <c r="B117" s="30" t="s">
        <v>697</v>
      </c>
      <c r="C117" s="30" t="s">
        <v>214</v>
      </c>
      <c r="D117" s="30" t="s">
        <v>235</v>
      </c>
      <c r="E117" s="40" t="s">
        <v>576</v>
      </c>
      <c r="F117" s="31">
        <v>240</v>
      </c>
      <c r="G117" s="41">
        <v>152</v>
      </c>
      <c r="H117" s="41">
        <v>169</v>
      </c>
    </row>
    <row r="118" spans="1:8" s="49" customFormat="1" ht="24" x14ac:dyDescent="0.2">
      <c r="A118" s="75" t="s">
        <v>162</v>
      </c>
      <c r="B118" s="24" t="s">
        <v>697</v>
      </c>
      <c r="C118" s="24" t="s">
        <v>214</v>
      </c>
      <c r="D118" s="24" t="s">
        <v>235</v>
      </c>
      <c r="E118" s="24" t="s">
        <v>191</v>
      </c>
      <c r="F118" s="37"/>
      <c r="G118" s="42">
        <f>G119</f>
        <v>528</v>
      </c>
      <c r="H118" s="42">
        <f>H119</f>
        <v>586</v>
      </c>
    </row>
    <row r="119" spans="1:8" s="50" customFormat="1" x14ac:dyDescent="0.2">
      <c r="A119" s="84" t="s">
        <v>473</v>
      </c>
      <c r="B119" s="30" t="s">
        <v>697</v>
      </c>
      <c r="C119" s="30" t="s">
        <v>214</v>
      </c>
      <c r="D119" s="30" t="s">
        <v>235</v>
      </c>
      <c r="E119" s="40" t="s">
        <v>191</v>
      </c>
      <c r="F119" s="31">
        <v>200</v>
      </c>
      <c r="G119" s="41">
        <f>G120</f>
        <v>528</v>
      </c>
      <c r="H119" s="41">
        <f>H120</f>
        <v>586</v>
      </c>
    </row>
    <row r="120" spans="1:8" s="50" customFormat="1" ht="24" x14ac:dyDescent="0.2">
      <c r="A120" s="84" t="s">
        <v>227</v>
      </c>
      <c r="B120" s="30" t="s">
        <v>697</v>
      </c>
      <c r="C120" s="30" t="s">
        <v>214</v>
      </c>
      <c r="D120" s="30" t="s">
        <v>235</v>
      </c>
      <c r="E120" s="40" t="s">
        <v>191</v>
      </c>
      <c r="F120" s="31">
        <v>240</v>
      </c>
      <c r="G120" s="41">
        <v>528</v>
      </c>
      <c r="H120" s="41">
        <v>586</v>
      </c>
    </row>
    <row r="121" spans="1:8" s="50" customFormat="1" ht="24" x14ac:dyDescent="0.2">
      <c r="A121" s="75" t="s">
        <v>577</v>
      </c>
      <c r="B121" s="24" t="s">
        <v>697</v>
      </c>
      <c r="C121" s="24" t="s">
        <v>214</v>
      </c>
      <c r="D121" s="24" t="s">
        <v>235</v>
      </c>
      <c r="E121" s="24" t="s">
        <v>192</v>
      </c>
      <c r="F121" s="37"/>
      <c r="G121" s="117">
        <f>G122</f>
        <v>500</v>
      </c>
      <c r="H121" s="117">
        <f>H122</f>
        <v>1000</v>
      </c>
    </row>
    <row r="122" spans="1:8" x14ac:dyDescent="0.2">
      <c r="A122" s="84" t="s">
        <v>473</v>
      </c>
      <c r="B122" s="30" t="s">
        <v>697</v>
      </c>
      <c r="C122" s="30" t="s">
        <v>214</v>
      </c>
      <c r="D122" s="30" t="s">
        <v>235</v>
      </c>
      <c r="E122" s="40" t="s">
        <v>192</v>
      </c>
      <c r="F122" s="31">
        <v>200</v>
      </c>
      <c r="G122" s="118">
        <f>G123</f>
        <v>500</v>
      </c>
      <c r="H122" s="118">
        <f>H123</f>
        <v>1000</v>
      </c>
    </row>
    <row r="123" spans="1:8" ht="24" x14ac:dyDescent="0.2">
      <c r="A123" s="84" t="s">
        <v>227</v>
      </c>
      <c r="B123" s="30" t="s">
        <v>697</v>
      </c>
      <c r="C123" s="30" t="s">
        <v>214</v>
      </c>
      <c r="D123" s="30" t="s">
        <v>235</v>
      </c>
      <c r="E123" s="40" t="s">
        <v>192</v>
      </c>
      <c r="F123" s="31">
        <v>240</v>
      </c>
      <c r="G123" s="118">
        <v>500</v>
      </c>
      <c r="H123" s="118">
        <v>1000</v>
      </c>
    </row>
    <row r="124" spans="1:8" ht="27" x14ac:dyDescent="0.2">
      <c r="A124" s="86" t="s">
        <v>781</v>
      </c>
      <c r="B124" s="53" t="s">
        <v>697</v>
      </c>
      <c r="C124" s="53" t="s">
        <v>214</v>
      </c>
      <c r="D124" s="53" t="s">
        <v>235</v>
      </c>
      <c r="E124" s="93" t="s">
        <v>780</v>
      </c>
      <c r="F124" s="58"/>
      <c r="G124" s="121">
        <f>G125+G128</f>
        <v>25382</v>
      </c>
      <c r="H124" s="121">
        <f>H125+H128</f>
        <v>25382</v>
      </c>
    </row>
    <row r="125" spans="1:8" ht="24" x14ac:dyDescent="0.2">
      <c r="A125" s="80" t="s">
        <v>784</v>
      </c>
      <c r="B125" s="24" t="s">
        <v>697</v>
      </c>
      <c r="C125" s="24" t="s">
        <v>214</v>
      </c>
      <c r="D125" s="24" t="s">
        <v>235</v>
      </c>
      <c r="E125" s="43" t="s">
        <v>785</v>
      </c>
      <c r="F125" s="37"/>
      <c r="G125" s="117">
        <f t="shared" ref="G125:H129" si="2">G126</f>
        <v>7140</v>
      </c>
      <c r="H125" s="117">
        <f t="shared" si="2"/>
        <v>7140</v>
      </c>
    </row>
    <row r="126" spans="1:8" x14ac:dyDescent="0.2">
      <c r="A126" s="84" t="s">
        <v>473</v>
      </c>
      <c r="B126" s="30" t="s">
        <v>697</v>
      </c>
      <c r="C126" s="30" t="s">
        <v>214</v>
      </c>
      <c r="D126" s="30" t="s">
        <v>235</v>
      </c>
      <c r="E126" s="40" t="s">
        <v>785</v>
      </c>
      <c r="F126" s="31">
        <v>200</v>
      </c>
      <c r="G126" s="118">
        <f t="shared" si="2"/>
        <v>7140</v>
      </c>
      <c r="H126" s="118">
        <f t="shared" si="2"/>
        <v>7140</v>
      </c>
    </row>
    <row r="127" spans="1:8" ht="24" x14ac:dyDescent="0.2">
      <c r="A127" s="84" t="s">
        <v>227</v>
      </c>
      <c r="B127" s="30" t="s">
        <v>697</v>
      </c>
      <c r="C127" s="30" t="s">
        <v>214</v>
      </c>
      <c r="D127" s="30" t="s">
        <v>235</v>
      </c>
      <c r="E127" s="40" t="s">
        <v>785</v>
      </c>
      <c r="F127" s="31">
        <v>240</v>
      </c>
      <c r="G127" s="118">
        <v>7140</v>
      </c>
      <c r="H127" s="118">
        <v>7140</v>
      </c>
    </row>
    <row r="128" spans="1:8" ht="24" x14ac:dyDescent="0.2">
      <c r="A128" s="80" t="s">
        <v>786</v>
      </c>
      <c r="B128" s="24" t="s">
        <v>697</v>
      </c>
      <c r="C128" s="24" t="s">
        <v>214</v>
      </c>
      <c r="D128" s="24" t="s">
        <v>235</v>
      </c>
      <c r="E128" s="43" t="s">
        <v>787</v>
      </c>
      <c r="F128" s="37"/>
      <c r="G128" s="117">
        <f t="shared" si="2"/>
        <v>18242</v>
      </c>
      <c r="H128" s="117">
        <f t="shared" si="2"/>
        <v>18242</v>
      </c>
    </row>
    <row r="129" spans="1:8" x14ac:dyDescent="0.2">
      <c r="A129" s="84" t="s">
        <v>473</v>
      </c>
      <c r="B129" s="30" t="s">
        <v>697</v>
      </c>
      <c r="C129" s="30" t="s">
        <v>214</v>
      </c>
      <c r="D129" s="30" t="s">
        <v>235</v>
      </c>
      <c r="E129" s="40" t="s">
        <v>787</v>
      </c>
      <c r="F129" s="31">
        <v>200</v>
      </c>
      <c r="G129" s="118">
        <f t="shared" si="2"/>
        <v>18242</v>
      </c>
      <c r="H129" s="118">
        <f t="shared" si="2"/>
        <v>18242</v>
      </c>
    </row>
    <row r="130" spans="1:8" ht="24" x14ac:dyDescent="0.2">
      <c r="A130" s="84" t="s">
        <v>227</v>
      </c>
      <c r="B130" s="30" t="s">
        <v>697</v>
      </c>
      <c r="C130" s="30" t="s">
        <v>214</v>
      </c>
      <c r="D130" s="30" t="s">
        <v>235</v>
      </c>
      <c r="E130" s="40" t="s">
        <v>787</v>
      </c>
      <c r="F130" s="31">
        <v>240</v>
      </c>
      <c r="G130" s="118">
        <f>13100+1039+4103</f>
        <v>18242</v>
      </c>
      <c r="H130" s="118">
        <f>13100+1039+4103</f>
        <v>18242</v>
      </c>
    </row>
    <row r="131" spans="1:8" ht="27" x14ac:dyDescent="0.2">
      <c r="A131" s="86" t="s">
        <v>469</v>
      </c>
      <c r="B131" s="53" t="s">
        <v>697</v>
      </c>
      <c r="C131" s="53" t="s">
        <v>214</v>
      </c>
      <c r="D131" s="53" t="s">
        <v>235</v>
      </c>
      <c r="E131" s="93" t="s">
        <v>406</v>
      </c>
      <c r="F131" s="58"/>
      <c r="G131" s="121">
        <f t="shared" ref="G131:H133" si="3">G132</f>
        <v>1720</v>
      </c>
      <c r="H131" s="121">
        <f t="shared" si="3"/>
        <v>0</v>
      </c>
    </row>
    <row r="132" spans="1:8" ht="36" x14ac:dyDescent="0.2">
      <c r="A132" s="80" t="s">
        <v>423</v>
      </c>
      <c r="B132" s="24" t="s">
        <v>697</v>
      </c>
      <c r="C132" s="24" t="s">
        <v>214</v>
      </c>
      <c r="D132" s="24" t="s">
        <v>235</v>
      </c>
      <c r="E132" s="43" t="s">
        <v>193</v>
      </c>
      <c r="F132" s="37"/>
      <c r="G132" s="117">
        <f t="shared" si="3"/>
        <v>1720</v>
      </c>
      <c r="H132" s="117">
        <f t="shared" si="3"/>
        <v>0</v>
      </c>
    </row>
    <row r="133" spans="1:8" x14ac:dyDescent="0.2">
      <c r="A133" s="84" t="s">
        <v>473</v>
      </c>
      <c r="B133" s="30" t="s">
        <v>697</v>
      </c>
      <c r="C133" s="30" t="s">
        <v>214</v>
      </c>
      <c r="D133" s="30" t="s">
        <v>235</v>
      </c>
      <c r="E133" s="40" t="s">
        <v>193</v>
      </c>
      <c r="F133" s="31">
        <v>200</v>
      </c>
      <c r="G133" s="118">
        <f t="shared" si="3"/>
        <v>1720</v>
      </c>
      <c r="H133" s="118">
        <f t="shared" si="3"/>
        <v>0</v>
      </c>
    </row>
    <row r="134" spans="1:8" ht="24" x14ac:dyDescent="0.2">
      <c r="A134" s="84" t="s">
        <v>227</v>
      </c>
      <c r="B134" s="30" t="s">
        <v>697</v>
      </c>
      <c r="C134" s="30" t="s">
        <v>214</v>
      </c>
      <c r="D134" s="30" t="s">
        <v>235</v>
      </c>
      <c r="E134" s="40" t="s">
        <v>193</v>
      </c>
      <c r="F134" s="31">
        <v>240</v>
      </c>
      <c r="G134" s="118">
        <v>1720</v>
      </c>
      <c r="H134" s="118">
        <v>0</v>
      </c>
    </row>
    <row r="135" spans="1:8" ht="24" x14ac:dyDescent="0.2">
      <c r="A135" s="80" t="s">
        <v>511</v>
      </c>
      <c r="B135" s="24">
        <v>598</v>
      </c>
      <c r="C135" s="24" t="s">
        <v>817</v>
      </c>
      <c r="D135" s="24" t="s">
        <v>215</v>
      </c>
      <c r="E135" s="24"/>
      <c r="F135" s="24"/>
      <c r="G135" s="42">
        <f t="shared" ref="G135:H137" si="4">G136</f>
        <v>4548</v>
      </c>
      <c r="H135" s="42">
        <f t="shared" si="4"/>
        <v>4548</v>
      </c>
    </row>
    <row r="136" spans="1:8" ht="24" x14ac:dyDescent="0.2">
      <c r="A136" s="80" t="s">
        <v>654</v>
      </c>
      <c r="B136" s="24" t="s">
        <v>697</v>
      </c>
      <c r="C136" s="24" t="s">
        <v>817</v>
      </c>
      <c r="D136" s="24" t="s">
        <v>818</v>
      </c>
      <c r="E136" s="24"/>
      <c r="F136" s="24"/>
      <c r="G136" s="42">
        <f t="shared" si="4"/>
        <v>4548</v>
      </c>
      <c r="H136" s="42">
        <f t="shared" si="4"/>
        <v>4548</v>
      </c>
    </row>
    <row r="137" spans="1:8" x14ac:dyDescent="0.2">
      <c r="A137" s="83" t="s">
        <v>762</v>
      </c>
      <c r="B137" s="25">
        <v>598</v>
      </c>
      <c r="C137" s="25" t="s">
        <v>817</v>
      </c>
      <c r="D137" s="25" t="s">
        <v>818</v>
      </c>
      <c r="E137" s="25" t="s">
        <v>382</v>
      </c>
      <c r="F137" s="25"/>
      <c r="G137" s="45">
        <f t="shared" si="4"/>
        <v>4548</v>
      </c>
      <c r="H137" s="45">
        <f t="shared" si="4"/>
        <v>4548</v>
      </c>
    </row>
    <row r="138" spans="1:8" x14ac:dyDescent="0.2">
      <c r="A138" s="80" t="s">
        <v>476</v>
      </c>
      <c r="B138" s="24">
        <v>598</v>
      </c>
      <c r="C138" s="24" t="s">
        <v>817</v>
      </c>
      <c r="D138" s="24" t="s">
        <v>818</v>
      </c>
      <c r="E138" s="24" t="s">
        <v>383</v>
      </c>
      <c r="F138" s="24"/>
      <c r="G138" s="42">
        <f>G142+G139</f>
        <v>4548</v>
      </c>
      <c r="H138" s="42">
        <f>H142+H139</f>
        <v>4548</v>
      </c>
    </row>
    <row r="139" spans="1:8" ht="24" x14ac:dyDescent="0.2">
      <c r="A139" s="80" t="s">
        <v>277</v>
      </c>
      <c r="B139" s="24">
        <v>598</v>
      </c>
      <c r="C139" s="24" t="s">
        <v>817</v>
      </c>
      <c r="D139" s="24" t="s">
        <v>818</v>
      </c>
      <c r="E139" s="24" t="s">
        <v>383</v>
      </c>
      <c r="F139" s="24"/>
      <c r="G139" s="42">
        <f>G140</f>
        <v>1000</v>
      </c>
      <c r="H139" s="42">
        <f>H140</f>
        <v>1000</v>
      </c>
    </row>
    <row r="140" spans="1:8" x14ac:dyDescent="0.2">
      <c r="A140" s="84" t="s">
        <v>473</v>
      </c>
      <c r="B140" s="30" t="s">
        <v>697</v>
      </c>
      <c r="C140" s="30" t="s">
        <v>817</v>
      </c>
      <c r="D140" s="30" t="s">
        <v>818</v>
      </c>
      <c r="E140" s="30" t="s">
        <v>195</v>
      </c>
      <c r="F140" s="30" t="s">
        <v>226</v>
      </c>
      <c r="G140" s="41">
        <f>G141</f>
        <v>1000</v>
      </c>
      <c r="H140" s="41">
        <f>H141</f>
        <v>1000</v>
      </c>
    </row>
    <row r="141" spans="1:8" ht="24" x14ac:dyDescent="0.2">
      <c r="A141" s="84" t="s">
        <v>227</v>
      </c>
      <c r="B141" s="30" t="s">
        <v>697</v>
      </c>
      <c r="C141" s="30" t="s">
        <v>817</v>
      </c>
      <c r="D141" s="30" t="s">
        <v>818</v>
      </c>
      <c r="E141" s="30" t="s">
        <v>195</v>
      </c>
      <c r="F141" s="30" t="s">
        <v>228</v>
      </c>
      <c r="G141" s="41">
        <v>1000</v>
      </c>
      <c r="H141" s="41">
        <v>1000</v>
      </c>
    </row>
    <row r="142" spans="1:8" ht="24" x14ac:dyDescent="0.2">
      <c r="A142" s="85" t="s">
        <v>819</v>
      </c>
      <c r="B142" s="33" t="s">
        <v>697</v>
      </c>
      <c r="C142" s="33" t="s">
        <v>817</v>
      </c>
      <c r="D142" s="33" t="s">
        <v>818</v>
      </c>
      <c r="E142" s="33" t="s">
        <v>383</v>
      </c>
      <c r="F142" s="33"/>
      <c r="G142" s="101">
        <f>G143</f>
        <v>3548</v>
      </c>
      <c r="H142" s="101">
        <f>H143</f>
        <v>3548</v>
      </c>
    </row>
    <row r="143" spans="1:8" x14ac:dyDescent="0.2">
      <c r="A143" s="80" t="s">
        <v>164</v>
      </c>
      <c r="B143" s="24" t="s">
        <v>697</v>
      </c>
      <c r="C143" s="24" t="s">
        <v>817</v>
      </c>
      <c r="D143" s="24" t="s">
        <v>818</v>
      </c>
      <c r="E143" s="24" t="s">
        <v>552</v>
      </c>
      <c r="F143" s="24"/>
      <c r="G143" s="42">
        <f>G144+G146+G148</f>
        <v>3548</v>
      </c>
      <c r="H143" s="42">
        <f>H144+H146+H148</f>
        <v>3548</v>
      </c>
    </row>
    <row r="144" spans="1:8" ht="36" x14ac:dyDescent="0.2">
      <c r="A144" s="84" t="s">
        <v>217</v>
      </c>
      <c r="B144" s="30" t="s">
        <v>697</v>
      </c>
      <c r="C144" s="30" t="s">
        <v>817</v>
      </c>
      <c r="D144" s="30" t="s">
        <v>818</v>
      </c>
      <c r="E144" s="30" t="s">
        <v>552</v>
      </c>
      <c r="F144" s="30" t="s">
        <v>218</v>
      </c>
      <c r="G144" s="41">
        <f>G145</f>
        <v>3374</v>
      </c>
      <c r="H144" s="41">
        <f>H145</f>
        <v>3374</v>
      </c>
    </row>
    <row r="145" spans="1:8" x14ac:dyDescent="0.2">
      <c r="A145" s="84" t="s">
        <v>820</v>
      </c>
      <c r="B145" s="30" t="s">
        <v>697</v>
      </c>
      <c r="C145" s="30" t="s">
        <v>817</v>
      </c>
      <c r="D145" s="30" t="s">
        <v>818</v>
      </c>
      <c r="E145" s="30" t="s">
        <v>552</v>
      </c>
      <c r="F145" s="30" t="s">
        <v>821</v>
      </c>
      <c r="G145" s="41">
        <f>2550+54+770</f>
        <v>3374</v>
      </c>
      <c r="H145" s="41">
        <f>2550+54+770</f>
        <v>3374</v>
      </c>
    </row>
    <row r="146" spans="1:8" x14ac:dyDescent="0.2">
      <c r="A146" s="84" t="s">
        <v>473</v>
      </c>
      <c r="B146" s="30" t="s">
        <v>697</v>
      </c>
      <c r="C146" s="30" t="s">
        <v>817</v>
      </c>
      <c r="D146" s="30" t="s">
        <v>818</v>
      </c>
      <c r="E146" s="30" t="s">
        <v>552</v>
      </c>
      <c r="F146" s="30" t="s">
        <v>226</v>
      </c>
      <c r="G146" s="41">
        <f>G147</f>
        <v>171</v>
      </c>
      <c r="H146" s="41">
        <f>H147</f>
        <v>171</v>
      </c>
    </row>
    <row r="147" spans="1:8" ht="24" x14ac:dyDescent="0.2">
      <c r="A147" s="84" t="s">
        <v>227</v>
      </c>
      <c r="B147" s="30" t="s">
        <v>697</v>
      </c>
      <c r="C147" s="30" t="s">
        <v>817</v>
      </c>
      <c r="D147" s="30" t="s">
        <v>818</v>
      </c>
      <c r="E147" s="30" t="s">
        <v>552</v>
      </c>
      <c r="F147" s="30" t="s">
        <v>228</v>
      </c>
      <c r="G147" s="41">
        <v>171</v>
      </c>
      <c r="H147" s="41">
        <v>171</v>
      </c>
    </row>
    <row r="148" spans="1:8" x14ac:dyDescent="0.2">
      <c r="A148" s="84" t="s">
        <v>229</v>
      </c>
      <c r="B148" s="30" t="s">
        <v>697</v>
      </c>
      <c r="C148" s="30" t="s">
        <v>817</v>
      </c>
      <c r="D148" s="30" t="s">
        <v>818</v>
      </c>
      <c r="E148" s="30" t="s">
        <v>552</v>
      </c>
      <c r="F148" s="30" t="s">
        <v>230</v>
      </c>
      <c r="G148" s="41">
        <f>G149</f>
        <v>3</v>
      </c>
      <c r="H148" s="41">
        <f>H149</f>
        <v>3</v>
      </c>
    </row>
    <row r="149" spans="1:8" x14ac:dyDescent="0.2">
      <c r="A149" s="84" t="s">
        <v>311</v>
      </c>
      <c r="B149" s="30" t="s">
        <v>697</v>
      </c>
      <c r="C149" s="30" t="s">
        <v>817</v>
      </c>
      <c r="D149" s="30" t="s">
        <v>818</v>
      </c>
      <c r="E149" s="30" t="s">
        <v>552</v>
      </c>
      <c r="F149" s="30" t="s">
        <v>231</v>
      </c>
      <c r="G149" s="41">
        <v>3</v>
      </c>
      <c r="H149" s="41">
        <v>3</v>
      </c>
    </row>
    <row r="150" spans="1:8" x14ac:dyDescent="0.2">
      <c r="A150" s="80" t="s">
        <v>655</v>
      </c>
      <c r="B150" s="24" t="s">
        <v>697</v>
      </c>
      <c r="C150" s="24" t="s">
        <v>216</v>
      </c>
      <c r="D150" s="24" t="s">
        <v>215</v>
      </c>
      <c r="E150" s="24"/>
      <c r="F150" s="24"/>
      <c r="G150" s="42">
        <f>G151</f>
        <v>20500</v>
      </c>
      <c r="H150" s="42">
        <f>H151</f>
        <v>20500</v>
      </c>
    </row>
    <row r="151" spans="1:8" x14ac:dyDescent="0.2">
      <c r="A151" s="80" t="s">
        <v>698</v>
      </c>
      <c r="B151" s="24" t="s">
        <v>697</v>
      </c>
      <c r="C151" s="24" t="s">
        <v>216</v>
      </c>
      <c r="D151" s="24" t="s">
        <v>823</v>
      </c>
      <c r="E151" s="40"/>
      <c r="F151" s="30"/>
      <c r="G151" s="42">
        <f>G152+G168</f>
        <v>20500</v>
      </c>
      <c r="H151" s="42">
        <f>H152+H168</f>
        <v>20500</v>
      </c>
    </row>
    <row r="152" spans="1:8" ht="40.5" x14ac:dyDescent="0.2">
      <c r="A152" s="86" t="s">
        <v>699</v>
      </c>
      <c r="B152" s="53" t="s">
        <v>697</v>
      </c>
      <c r="C152" s="53" t="s">
        <v>216</v>
      </c>
      <c r="D152" s="53" t="s">
        <v>823</v>
      </c>
      <c r="E152" s="53" t="s">
        <v>387</v>
      </c>
      <c r="F152" s="53"/>
      <c r="G152" s="115">
        <f>G153+G156+G159+G162+G165</f>
        <v>1500</v>
      </c>
      <c r="H152" s="115">
        <f>H153+H156+H159+H162+H165</f>
        <v>1500</v>
      </c>
    </row>
    <row r="153" spans="1:8" ht="48" x14ac:dyDescent="0.2">
      <c r="A153" s="61" t="s">
        <v>16</v>
      </c>
      <c r="B153" s="24" t="s">
        <v>697</v>
      </c>
      <c r="C153" s="24" t="s">
        <v>216</v>
      </c>
      <c r="D153" s="24" t="s">
        <v>823</v>
      </c>
      <c r="E153" s="24" t="s">
        <v>28</v>
      </c>
      <c r="F153" s="24"/>
      <c r="G153" s="35">
        <f>G154</f>
        <v>200</v>
      </c>
      <c r="H153" s="35">
        <f>H154</f>
        <v>200</v>
      </c>
    </row>
    <row r="154" spans="1:8" x14ac:dyDescent="0.2">
      <c r="A154" s="84" t="s">
        <v>473</v>
      </c>
      <c r="B154" s="30" t="s">
        <v>697</v>
      </c>
      <c r="C154" s="30" t="s">
        <v>216</v>
      </c>
      <c r="D154" s="30" t="s">
        <v>823</v>
      </c>
      <c r="E154" s="30" t="s">
        <v>28</v>
      </c>
      <c r="F154" s="30" t="s">
        <v>226</v>
      </c>
      <c r="G154" s="116">
        <f>G155</f>
        <v>200</v>
      </c>
      <c r="H154" s="116">
        <f>H155</f>
        <v>200</v>
      </c>
    </row>
    <row r="155" spans="1:8" ht="24" x14ac:dyDescent="0.2">
      <c r="A155" s="84" t="s">
        <v>227</v>
      </c>
      <c r="B155" s="31">
        <v>598</v>
      </c>
      <c r="C155" s="30" t="s">
        <v>216</v>
      </c>
      <c r="D155" s="30" t="s">
        <v>823</v>
      </c>
      <c r="E155" s="30" t="s">
        <v>28</v>
      </c>
      <c r="F155" s="30" t="s">
        <v>228</v>
      </c>
      <c r="G155" s="116">
        <v>200</v>
      </c>
      <c r="H155" s="116">
        <v>200</v>
      </c>
    </row>
    <row r="156" spans="1:8" ht="48" x14ac:dyDescent="0.2">
      <c r="A156" s="61" t="s">
        <v>17</v>
      </c>
      <c r="B156" s="24" t="s">
        <v>697</v>
      </c>
      <c r="C156" s="24" t="s">
        <v>216</v>
      </c>
      <c r="D156" s="24" t="s">
        <v>823</v>
      </c>
      <c r="E156" s="24" t="s">
        <v>29</v>
      </c>
      <c r="F156" s="24"/>
      <c r="G156" s="35">
        <f>G157</f>
        <v>300</v>
      </c>
      <c r="H156" s="35">
        <f>H157</f>
        <v>300</v>
      </c>
    </row>
    <row r="157" spans="1:8" x14ac:dyDescent="0.2">
      <c r="A157" s="84" t="s">
        <v>473</v>
      </c>
      <c r="B157" s="30" t="s">
        <v>697</v>
      </c>
      <c r="C157" s="30" t="s">
        <v>216</v>
      </c>
      <c r="D157" s="30" t="s">
        <v>823</v>
      </c>
      <c r="E157" s="30" t="s">
        <v>29</v>
      </c>
      <c r="F157" s="30" t="s">
        <v>226</v>
      </c>
      <c r="G157" s="116">
        <f>G158</f>
        <v>300</v>
      </c>
      <c r="H157" s="116">
        <f>H158</f>
        <v>300</v>
      </c>
    </row>
    <row r="158" spans="1:8" ht="24" x14ac:dyDescent="0.2">
      <c r="A158" s="84" t="s">
        <v>227</v>
      </c>
      <c r="B158" s="31">
        <v>598</v>
      </c>
      <c r="C158" s="30" t="s">
        <v>216</v>
      </c>
      <c r="D158" s="30" t="s">
        <v>823</v>
      </c>
      <c r="E158" s="30" t="s">
        <v>29</v>
      </c>
      <c r="F158" s="30" t="s">
        <v>228</v>
      </c>
      <c r="G158" s="116">
        <v>300</v>
      </c>
      <c r="H158" s="116">
        <v>300</v>
      </c>
    </row>
    <row r="159" spans="1:8" ht="36" x14ac:dyDescent="0.2">
      <c r="A159" s="80" t="s">
        <v>18</v>
      </c>
      <c r="B159" s="24" t="s">
        <v>697</v>
      </c>
      <c r="C159" s="24" t="s">
        <v>216</v>
      </c>
      <c r="D159" s="24" t="s">
        <v>823</v>
      </c>
      <c r="E159" s="24" t="s">
        <v>30</v>
      </c>
      <c r="F159" s="24"/>
      <c r="G159" s="35">
        <f>G160</f>
        <v>300</v>
      </c>
      <c r="H159" s="35">
        <f>H160</f>
        <v>300</v>
      </c>
    </row>
    <row r="160" spans="1:8" x14ac:dyDescent="0.2">
      <c r="A160" s="84" t="s">
        <v>473</v>
      </c>
      <c r="B160" s="30" t="s">
        <v>697</v>
      </c>
      <c r="C160" s="30" t="s">
        <v>216</v>
      </c>
      <c r="D160" s="30" t="s">
        <v>823</v>
      </c>
      <c r="E160" s="30" t="s">
        <v>30</v>
      </c>
      <c r="F160" s="30" t="s">
        <v>226</v>
      </c>
      <c r="G160" s="116">
        <f>G161</f>
        <v>300</v>
      </c>
      <c r="H160" s="116">
        <f>H161</f>
        <v>300</v>
      </c>
    </row>
    <row r="161" spans="1:8" ht="24" x14ac:dyDescent="0.2">
      <c r="A161" s="84" t="s">
        <v>227</v>
      </c>
      <c r="B161" s="31">
        <v>598</v>
      </c>
      <c r="C161" s="30" t="s">
        <v>216</v>
      </c>
      <c r="D161" s="30" t="s">
        <v>823</v>
      </c>
      <c r="E161" s="30" t="s">
        <v>30</v>
      </c>
      <c r="F161" s="30" t="s">
        <v>228</v>
      </c>
      <c r="G161" s="116">
        <v>300</v>
      </c>
      <c r="H161" s="116">
        <v>300</v>
      </c>
    </row>
    <row r="162" spans="1:8" ht="24" x14ac:dyDescent="0.2">
      <c r="A162" s="80" t="s">
        <v>19</v>
      </c>
      <c r="B162" s="24" t="s">
        <v>697</v>
      </c>
      <c r="C162" s="24" t="s">
        <v>216</v>
      </c>
      <c r="D162" s="24" t="s">
        <v>823</v>
      </c>
      <c r="E162" s="24" t="s">
        <v>31</v>
      </c>
      <c r="F162" s="24"/>
      <c r="G162" s="35">
        <f>G163</f>
        <v>400</v>
      </c>
      <c r="H162" s="35">
        <f>H163</f>
        <v>400</v>
      </c>
    </row>
    <row r="163" spans="1:8" x14ac:dyDescent="0.2">
      <c r="A163" s="84" t="s">
        <v>473</v>
      </c>
      <c r="B163" s="30" t="s">
        <v>697</v>
      </c>
      <c r="C163" s="30" t="s">
        <v>216</v>
      </c>
      <c r="D163" s="30" t="s">
        <v>823</v>
      </c>
      <c r="E163" s="30" t="s">
        <v>31</v>
      </c>
      <c r="F163" s="30" t="s">
        <v>226</v>
      </c>
      <c r="G163" s="116">
        <f>G164</f>
        <v>400</v>
      </c>
      <c r="H163" s="116">
        <f>H164</f>
        <v>400</v>
      </c>
    </row>
    <row r="164" spans="1:8" ht="24" x14ac:dyDescent="0.2">
      <c r="A164" s="84" t="s">
        <v>227</v>
      </c>
      <c r="B164" s="31">
        <v>598</v>
      </c>
      <c r="C164" s="30" t="s">
        <v>216</v>
      </c>
      <c r="D164" s="30" t="s">
        <v>823</v>
      </c>
      <c r="E164" s="30" t="s">
        <v>31</v>
      </c>
      <c r="F164" s="30" t="s">
        <v>228</v>
      </c>
      <c r="G164" s="116">
        <v>400</v>
      </c>
      <c r="H164" s="116">
        <v>400</v>
      </c>
    </row>
    <row r="165" spans="1:8" ht="36" x14ac:dyDescent="0.2">
      <c r="A165" s="80" t="s">
        <v>27</v>
      </c>
      <c r="B165" s="24" t="s">
        <v>697</v>
      </c>
      <c r="C165" s="24" t="s">
        <v>216</v>
      </c>
      <c r="D165" s="24" t="s">
        <v>823</v>
      </c>
      <c r="E165" s="24" t="s">
        <v>32</v>
      </c>
      <c r="F165" s="24"/>
      <c r="G165" s="35">
        <f>G166</f>
        <v>300</v>
      </c>
      <c r="H165" s="35">
        <f>H166</f>
        <v>300</v>
      </c>
    </row>
    <row r="166" spans="1:8" x14ac:dyDescent="0.2">
      <c r="A166" s="84" t="s">
        <v>473</v>
      </c>
      <c r="B166" s="30" t="s">
        <v>697</v>
      </c>
      <c r="C166" s="30" t="s">
        <v>216</v>
      </c>
      <c r="D166" s="30" t="s">
        <v>823</v>
      </c>
      <c r="E166" s="30" t="s">
        <v>32</v>
      </c>
      <c r="F166" s="30" t="s">
        <v>226</v>
      </c>
      <c r="G166" s="116">
        <f>G167</f>
        <v>300</v>
      </c>
      <c r="H166" s="116">
        <f>H167</f>
        <v>300</v>
      </c>
    </row>
    <row r="167" spans="1:8" ht="24" x14ac:dyDescent="0.2">
      <c r="A167" s="84" t="s">
        <v>227</v>
      </c>
      <c r="B167" s="31">
        <v>598</v>
      </c>
      <c r="C167" s="30" t="s">
        <v>216</v>
      </c>
      <c r="D167" s="30" t="s">
        <v>823</v>
      </c>
      <c r="E167" s="30" t="s">
        <v>32</v>
      </c>
      <c r="F167" s="30" t="s">
        <v>228</v>
      </c>
      <c r="G167" s="116">
        <v>300</v>
      </c>
      <c r="H167" s="116">
        <v>300</v>
      </c>
    </row>
    <row r="168" spans="1:8" x14ac:dyDescent="0.2">
      <c r="A168" s="81" t="s">
        <v>212</v>
      </c>
      <c r="B168" s="25" t="s">
        <v>697</v>
      </c>
      <c r="C168" s="25" t="s">
        <v>216</v>
      </c>
      <c r="D168" s="25" t="s">
        <v>823</v>
      </c>
      <c r="E168" s="25" t="s">
        <v>382</v>
      </c>
      <c r="F168" s="25"/>
      <c r="G168" s="45">
        <f>G169</f>
        <v>19000</v>
      </c>
      <c r="H168" s="45">
        <f>H169</f>
        <v>19000</v>
      </c>
    </row>
    <row r="169" spans="1:8" x14ac:dyDescent="0.2">
      <c r="A169" s="80" t="s">
        <v>476</v>
      </c>
      <c r="B169" s="37">
        <v>598</v>
      </c>
      <c r="C169" s="24" t="s">
        <v>216</v>
      </c>
      <c r="D169" s="24" t="s">
        <v>823</v>
      </c>
      <c r="E169" s="24" t="s">
        <v>383</v>
      </c>
      <c r="F169" s="24"/>
      <c r="G169" s="42">
        <f>G170+G173+G176+G179</f>
        <v>19000</v>
      </c>
      <c r="H169" s="42">
        <f>H170+H173+H176+H179</f>
        <v>19000</v>
      </c>
    </row>
    <row r="170" spans="1:8" ht="24" x14ac:dyDescent="0.2">
      <c r="A170" s="80" t="s">
        <v>33</v>
      </c>
      <c r="B170" s="37">
        <v>598</v>
      </c>
      <c r="C170" s="24" t="s">
        <v>216</v>
      </c>
      <c r="D170" s="24" t="s">
        <v>823</v>
      </c>
      <c r="E170" s="24" t="s">
        <v>37</v>
      </c>
      <c r="F170" s="24"/>
      <c r="G170" s="42">
        <f>G171</f>
        <v>13200</v>
      </c>
      <c r="H170" s="42">
        <f>H171</f>
        <v>13200</v>
      </c>
    </row>
    <row r="171" spans="1:8" x14ac:dyDescent="0.2">
      <c r="A171" s="84" t="s">
        <v>473</v>
      </c>
      <c r="B171" s="30" t="s">
        <v>697</v>
      </c>
      <c r="C171" s="30" t="s">
        <v>216</v>
      </c>
      <c r="D171" s="30" t="s">
        <v>823</v>
      </c>
      <c r="E171" s="30" t="s">
        <v>37</v>
      </c>
      <c r="F171" s="31">
        <v>200</v>
      </c>
      <c r="G171" s="41">
        <f>G172</f>
        <v>13200</v>
      </c>
      <c r="H171" s="41">
        <f>H172</f>
        <v>13200</v>
      </c>
    </row>
    <row r="172" spans="1:8" ht="24" x14ac:dyDescent="0.2">
      <c r="A172" s="84" t="s">
        <v>227</v>
      </c>
      <c r="B172" s="31">
        <v>598</v>
      </c>
      <c r="C172" s="30" t="s">
        <v>216</v>
      </c>
      <c r="D172" s="30" t="s">
        <v>823</v>
      </c>
      <c r="E172" s="30" t="s">
        <v>37</v>
      </c>
      <c r="F172" s="30" t="s">
        <v>228</v>
      </c>
      <c r="G172" s="41">
        <v>13200</v>
      </c>
      <c r="H172" s="41">
        <v>13200</v>
      </c>
    </row>
    <row r="173" spans="1:8" x14ac:dyDescent="0.2">
      <c r="A173" s="80" t="s">
        <v>34</v>
      </c>
      <c r="B173" s="24" t="s">
        <v>697</v>
      </c>
      <c r="C173" s="24" t="s">
        <v>216</v>
      </c>
      <c r="D173" s="24" t="s">
        <v>823</v>
      </c>
      <c r="E173" s="24" t="s">
        <v>38</v>
      </c>
      <c r="F173" s="24"/>
      <c r="G173" s="42">
        <f>G174</f>
        <v>1500</v>
      </c>
      <c r="H173" s="42">
        <f>H174</f>
        <v>1500</v>
      </c>
    </row>
    <row r="174" spans="1:8" x14ac:dyDescent="0.2">
      <c r="A174" s="84" t="s">
        <v>473</v>
      </c>
      <c r="B174" s="30" t="s">
        <v>697</v>
      </c>
      <c r="C174" s="30" t="s">
        <v>216</v>
      </c>
      <c r="D174" s="30" t="s">
        <v>823</v>
      </c>
      <c r="E174" s="30" t="s">
        <v>38</v>
      </c>
      <c r="F174" s="31">
        <v>200</v>
      </c>
      <c r="G174" s="41">
        <f>G175</f>
        <v>1500</v>
      </c>
      <c r="H174" s="41">
        <f>H175</f>
        <v>1500</v>
      </c>
    </row>
    <row r="175" spans="1:8" s="50" customFormat="1" ht="24" x14ac:dyDescent="0.2">
      <c r="A175" s="84" t="s">
        <v>227</v>
      </c>
      <c r="B175" s="31">
        <v>598</v>
      </c>
      <c r="C175" s="30" t="s">
        <v>216</v>
      </c>
      <c r="D175" s="30" t="s">
        <v>823</v>
      </c>
      <c r="E175" s="30" t="s">
        <v>38</v>
      </c>
      <c r="F175" s="30" t="s">
        <v>228</v>
      </c>
      <c r="G175" s="41">
        <v>1500</v>
      </c>
      <c r="H175" s="41">
        <v>1500</v>
      </c>
    </row>
    <row r="176" spans="1:8" s="50" customFormat="1" ht="24" x14ac:dyDescent="0.2">
      <c r="A176" s="80" t="s">
        <v>35</v>
      </c>
      <c r="B176" s="37">
        <v>598</v>
      </c>
      <c r="C176" s="24" t="s">
        <v>216</v>
      </c>
      <c r="D176" s="24" t="s">
        <v>823</v>
      </c>
      <c r="E176" s="24" t="s">
        <v>39</v>
      </c>
      <c r="F176" s="24"/>
      <c r="G176" s="117">
        <f>G177</f>
        <v>4000</v>
      </c>
      <c r="H176" s="117">
        <f>H177</f>
        <v>4000</v>
      </c>
    </row>
    <row r="177" spans="1:8" s="51" customFormat="1" x14ac:dyDescent="0.2">
      <c r="A177" s="84" t="s">
        <v>473</v>
      </c>
      <c r="B177" s="30" t="s">
        <v>697</v>
      </c>
      <c r="C177" s="30" t="s">
        <v>216</v>
      </c>
      <c r="D177" s="30" t="s">
        <v>823</v>
      </c>
      <c r="E177" s="30" t="s">
        <v>39</v>
      </c>
      <c r="F177" s="31">
        <v>200</v>
      </c>
      <c r="G177" s="118">
        <f>G178</f>
        <v>4000</v>
      </c>
      <c r="H177" s="118">
        <f>H178</f>
        <v>4000</v>
      </c>
    </row>
    <row r="178" spans="1:8" s="51" customFormat="1" ht="24" x14ac:dyDescent="0.2">
      <c r="A178" s="84" t="s">
        <v>227</v>
      </c>
      <c r="B178" s="31">
        <v>598</v>
      </c>
      <c r="C178" s="30" t="s">
        <v>216</v>
      </c>
      <c r="D178" s="30" t="s">
        <v>823</v>
      </c>
      <c r="E178" s="30" t="s">
        <v>39</v>
      </c>
      <c r="F178" s="30" t="s">
        <v>228</v>
      </c>
      <c r="G178" s="118">
        <v>4000</v>
      </c>
      <c r="H178" s="118">
        <v>4000</v>
      </c>
    </row>
    <row r="179" spans="1:8" s="49" customFormat="1" ht="24" x14ac:dyDescent="0.2">
      <c r="A179" s="80" t="s">
        <v>36</v>
      </c>
      <c r="B179" s="37">
        <v>598</v>
      </c>
      <c r="C179" s="24" t="s">
        <v>216</v>
      </c>
      <c r="D179" s="24" t="s">
        <v>823</v>
      </c>
      <c r="E179" s="24" t="s">
        <v>544</v>
      </c>
      <c r="F179" s="24"/>
      <c r="G179" s="117">
        <f>G180</f>
        <v>300</v>
      </c>
      <c r="H179" s="117">
        <f>H180</f>
        <v>300</v>
      </c>
    </row>
    <row r="180" spans="1:8" s="49" customFormat="1" x14ac:dyDescent="0.2">
      <c r="A180" s="84" t="s">
        <v>473</v>
      </c>
      <c r="B180" s="30" t="s">
        <v>697</v>
      </c>
      <c r="C180" s="30" t="s">
        <v>216</v>
      </c>
      <c r="D180" s="30" t="s">
        <v>823</v>
      </c>
      <c r="E180" s="30" t="s">
        <v>544</v>
      </c>
      <c r="F180" s="31">
        <v>200</v>
      </c>
      <c r="G180" s="118">
        <f>G181</f>
        <v>300</v>
      </c>
      <c r="H180" s="118">
        <f>H181</f>
        <v>300</v>
      </c>
    </row>
    <row r="181" spans="1:8" ht="24" x14ac:dyDescent="0.2">
      <c r="A181" s="84" t="s">
        <v>227</v>
      </c>
      <c r="B181" s="31">
        <v>598</v>
      </c>
      <c r="C181" s="30" t="s">
        <v>216</v>
      </c>
      <c r="D181" s="30" t="s">
        <v>823</v>
      </c>
      <c r="E181" s="30" t="s">
        <v>544</v>
      </c>
      <c r="F181" s="30" t="s">
        <v>228</v>
      </c>
      <c r="G181" s="118">
        <v>300</v>
      </c>
      <c r="H181" s="118">
        <v>300</v>
      </c>
    </row>
    <row r="182" spans="1:8" x14ac:dyDescent="0.2">
      <c r="A182" s="80" t="s">
        <v>700</v>
      </c>
      <c r="B182" s="24">
        <v>598</v>
      </c>
      <c r="C182" s="24" t="s">
        <v>107</v>
      </c>
      <c r="D182" s="24" t="s">
        <v>215</v>
      </c>
      <c r="E182" s="24"/>
      <c r="F182" s="24"/>
      <c r="G182" s="42">
        <f>G183+G189</f>
        <v>20000</v>
      </c>
      <c r="H182" s="42">
        <f>H183+H189</f>
        <v>20000</v>
      </c>
    </row>
    <row r="183" spans="1:8" x14ac:dyDescent="0.2">
      <c r="A183" s="80" t="s">
        <v>681</v>
      </c>
      <c r="B183" s="24" t="s">
        <v>697</v>
      </c>
      <c r="C183" s="24" t="s">
        <v>107</v>
      </c>
      <c r="D183" s="24" t="s">
        <v>214</v>
      </c>
      <c r="E183" s="24" t="s">
        <v>382</v>
      </c>
      <c r="F183" s="24"/>
      <c r="G183" s="42">
        <f t="shared" ref="G183:H187" si="5">G184</f>
        <v>15500</v>
      </c>
      <c r="H183" s="42">
        <f t="shared" si="5"/>
        <v>15500</v>
      </c>
    </row>
    <row r="184" spans="1:8" x14ac:dyDescent="0.2">
      <c r="A184" s="83" t="s">
        <v>762</v>
      </c>
      <c r="B184" s="25">
        <v>598</v>
      </c>
      <c r="C184" s="25" t="s">
        <v>107</v>
      </c>
      <c r="D184" s="25" t="s">
        <v>214</v>
      </c>
      <c r="E184" s="25" t="s">
        <v>382</v>
      </c>
      <c r="F184" s="24"/>
      <c r="G184" s="45">
        <f t="shared" si="5"/>
        <v>15500</v>
      </c>
      <c r="H184" s="45">
        <f t="shared" si="5"/>
        <v>15500</v>
      </c>
    </row>
    <row r="185" spans="1:8" x14ac:dyDescent="0.2">
      <c r="A185" s="80" t="s">
        <v>476</v>
      </c>
      <c r="B185" s="24">
        <v>598</v>
      </c>
      <c r="C185" s="24" t="s">
        <v>107</v>
      </c>
      <c r="D185" s="24" t="s">
        <v>214</v>
      </c>
      <c r="E185" s="24" t="s">
        <v>383</v>
      </c>
      <c r="F185" s="24"/>
      <c r="G185" s="42">
        <f t="shared" si="5"/>
        <v>15500</v>
      </c>
      <c r="H185" s="42">
        <f t="shared" si="5"/>
        <v>15500</v>
      </c>
    </row>
    <row r="186" spans="1:8" ht="24" x14ac:dyDescent="0.2">
      <c r="A186" s="80" t="s">
        <v>694</v>
      </c>
      <c r="B186" s="24" t="s">
        <v>697</v>
      </c>
      <c r="C186" s="24" t="s">
        <v>107</v>
      </c>
      <c r="D186" s="24" t="s">
        <v>214</v>
      </c>
      <c r="E186" s="24" t="s">
        <v>545</v>
      </c>
      <c r="F186" s="24"/>
      <c r="G186" s="42">
        <f t="shared" si="5"/>
        <v>15500</v>
      </c>
      <c r="H186" s="42">
        <f t="shared" si="5"/>
        <v>15500</v>
      </c>
    </row>
    <row r="187" spans="1:8" x14ac:dyDescent="0.2">
      <c r="A187" s="84" t="s">
        <v>237</v>
      </c>
      <c r="B187" s="30" t="s">
        <v>697</v>
      </c>
      <c r="C187" s="30" t="s">
        <v>107</v>
      </c>
      <c r="D187" s="30" t="s">
        <v>214</v>
      </c>
      <c r="E187" s="30" t="s">
        <v>545</v>
      </c>
      <c r="F187" s="30" t="s">
        <v>236</v>
      </c>
      <c r="G187" s="41">
        <f t="shared" si="5"/>
        <v>15500</v>
      </c>
      <c r="H187" s="41">
        <f t="shared" si="5"/>
        <v>15500</v>
      </c>
    </row>
    <row r="188" spans="1:8" x14ac:dyDescent="0.2">
      <c r="A188" s="84" t="s">
        <v>314</v>
      </c>
      <c r="B188" s="30" t="s">
        <v>697</v>
      </c>
      <c r="C188" s="30" t="s">
        <v>107</v>
      </c>
      <c r="D188" s="30" t="s">
        <v>214</v>
      </c>
      <c r="E188" s="30" t="s">
        <v>545</v>
      </c>
      <c r="F188" s="30" t="s">
        <v>110</v>
      </c>
      <c r="G188" s="41">
        <v>15500</v>
      </c>
      <c r="H188" s="41">
        <v>15500</v>
      </c>
    </row>
    <row r="189" spans="1:8" x14ac:dyDescent="0.2">
      <c r="A189" s="80" t="s">
        <v>687</v>
      </c>
      <c r="B189" s="24" t="s">
        <v>697</v>
      </c>
      <c r="C189" s="24" t="s">
        <v>107</v>
      </c>
      <c r="D189" s="24" t="s">
        <v>817</v>
      </c>
      <c r="E189" s="24"/>
      <c r="F189" s="24"/>
      <c r="G189" s="42">
        <f>G190+G195</f>
        <v>4500</v>
      </c>
      <c r="H189" s="42">
        <f>H190+H195</f>
        <v>4500</v>
      </c>
    </row>
    <row r="190" spans="1:8" x14ac:dyDescent="0.2">
      <c r="A190" s="83" t="s">
        <v>762</v>
      </c>
      <c r="B190" s="25">
        <v>598</v>
      </c>
      <c r="C190" s="25" t="s">
        <v>107</v>
      </c>
      <c r="D190" s="25" t="s">
        <v>817</v>
      </c>
      <c r="E190" s="25" t="s">
        <v>382</v>
      </c>
      <c r="F190" s="24"/>
      <c r="G190" s="45">
        <f t="shared" ref="G190:H193" si="6">G191</f>
        <v>3000</v>
      </c>
      <c r="H190" s="45">
        <f t="shared" si="6"/>
        <v>3000</v>
      </c>
    </row>
    <row r="191" spans="1:8" x14ac:dyDescent="0.2">
      <c r="A191" s="80" t="s">
        <v>476</v>
      </c>
      <c r="B191" s="24">
        <v>598</v>
      </c>
      <c r="C191" s="24" t="s">
        <v>107</v>
      </c>
      <c r="D191" s="24" t="s">
        <v>817</v>
      </c>
      <c r="E191" s="24" t="s">
        <v>383</v>
      </c>
      <c r="F191" s="24"/>
      <c r="G191" s="42">
        <f t="shared" si="6"/>
        <v>3000</v>
      </c>
      <c r="H191" s="42">
        <f t="shared" si="6"/>
        <v>3000</v>
      </c>
    </row>
    <row r="192" spans="1:8" x14ac:dyDescent="0.2">
      <c r="A192" s="80" t="s">
        <v>789</v>
      </c>
      <c r="B192" s="24" t="s">
        <v>697</v>
      </c>
      <c r="C192" s="24" t="s">
        <v>107</v>
      </c>
      <c r="D192" s="24" t="s">
        <v>817</v>
      </c>
      <c r="E192" s="94" t="s">
        <v>15</v>
      </c>
      <c r="F192" s="24"/>
      <c r="G192" s="42">
        <f t="shared" si="6"/>
        <v>3000</v>
      </c>
      <c r="H192" s="42">
        <f t="shared" si="6"/>
        <v>3000</v>
      </c>
    </row>
    <row r="193" spans="1:8" x14ac:dyDescent="0.2">
      <c r="A193" s="84" t="s">
        <v>237</v>
      </c>
      <c r="B193" s="30" t="s">
        <v>697</v>
      </c>
      <c r="C193" s="30" t="s">
        <v>107</v>
      </c>
      <c r="D193" s="30" t="s">
        <v>817</v>
      </c>
      <c r="E193" s="95" t="s">
        <v>15</v>
      </c>
      <c r="F193" s="30" t="s">
        <v>236</v>
      </c>
      <c r="G193" s="41">
        <f t="shared" si="6"/>
        <v>3000</v>
      </c>
      <c r="H193" s="41">
        <f t="shared" si="6"/>
        <v>3000</v>
      </c>
    </row>
    <row r="194" spans="1:8" ht="24" x14ac:dyDescent="0.2">
      <c r="A194" s="84" t="s">
        <v>238</v>
      </c>
      <c r="B194" s="30" t="s">
        <v>697</v>
      </c>
      <c r="C194" s="30" t="s">
        <v>107</v>
      </c>
      <c r="D194" s="30" t="s">
        <v>817</v>
      </c>
      <c r="E194" s="95" t="s">
        <v>15</v>
      </c>
      <c r="F194" s="30" t="s">
        <v>239</v>
      </c>
      <c r="G194" s="41">
        <v>3000</v>
      </c>
      <c r="H194" s="41">
        <v>3000</v>
      </c>
    </row>
    <row r="195" spans="1:8" ht="40.5" x14ac:dyDescent="0.2">
      <c r="A195" s="86" t="s">
        <v>547</v>
      </c>
      <c r="B195" s="53" t="s">
        <v>697</v>
      </c>
      <c r="C195" s="53" t="s">
        <v>107</v>
      </c>
      <c r="D195" s="53" t="s">
        <v>817</v>
      </c>
      <c r="E195" s="93" t="s">
        <v>426</v>
      </c>
      <c r="F195" s="53"/>
      <c r="G195" s="57">
        <f t="shared" ref="G195:H197" si="7">G196</f>
        <v>1500</v>
      </c>
      <c r="H195" s="57">
        <f t="shared" si="7"/>
        <v>1500</v>
      </c>
    </row>
    <row r="196" spans="1:8" ht="24" x14ac:dyDescent="0.2">
      <c r="A196" s="75" t="s">
        <v>172</v>
      </c>
      <c r="B196" s="24" t="s">
        <v>697</v>
      </c>
      <c r="C196" s="24" t="s">
        <v>107</v>
      </c>
      <c r="D196" s="24" t="s">
        <v>817</v>
      </c>
      <c r="E196" s="43" t="s">
        <v>40</v>
      </c>
      <c r="F196" s="24"/>
      <c r="G196" s="42">
        <f t="shared" si="7"/>
        <v>1500</v>
      </c>
      <c r="H196" s="42">
        <f t="shared" si="7"/>
        <v>1500</v>
      </c>
    </row>
    <row r="197" spans="1:8" x14ac:dyDescent="0.2">
      <c r="A197" s="84" t="s">
        <v>237</v>
      </c>
      <c r="B197" s="30" t="s">
        <v>697</v>
      </c>
      <c r="C197" s="30" t="s">
        <v>107</v>
      </c>
      <c r="D197" s="30" t="s">
        <v>817</v>
      </c>
      <c r="E197" s="40" t="s">
        <v>40</v>
      </c>
      <c r="F197" s="30" t="s">
        <v>236</v>
      </c>
      <c r="G197" s="41">
        <f t="shared" si="7"/>
        <v>1500</v>
      </c>
      <c r="H197" s="41">
        <f t="shared" si="7"/>
        <v>1500</v>
      </c>
    </row>
    <row r="198" spans="1:8" x14ac:dyDescent="0.2">
      <c r="A198" s="84" t="s">
        <v>314</v>
      </c>
      <c r="B198" s="30" t="s">
        <v>697</v>
      </c>
      <c r="C198" s="30" t="s">
        <v>107</v>
      </c>
      <c r="D198" s="30" t="s">
        <v>817</v>
      </c>
      <c r="E198" s="40" t="s">
        <v>40</v>
      </c>
      <c r="F198" s="30" t="s">
        <v>110</v>
      </c>
      <c r="G198" s="41">
        <v>1500</v>
      </c>
      <c r="H198" s="41">
        <v>1500</v>
      </c>
    </row>
    <row r="199" spans="1:8" x14ac:dyDescent="0.2">
      <c r="A199" s="80" t="s">
        <v>692</v>
      </c>
      <c r="B199" s="24" t="s">
        <v>697</v>
      </c>
      <c r="C199" s="24" t="s">
        <v>823</v>
      </c>
      <c r="D199" s="24" t="s">
        <v>215</v>
      </c>
      <c r="E199" s="24"/>
      <c r="F199" s="24"/>
      <c r="G199" s="42">
        <f>G200+G210</f>
        <v>10694</v>
      </c>
      <c r="H199" s="42">
        <f>H200+H210</f>
        <v>10694</v>
      </c>
    </row>
    <row r="200" spans="1:8" x14ac:dyDescent="0.2">
      <c r="A200" s="80" t="s">
        <v>679</v>
      </c>
      <c r="B200" s="24" t="s">
        <v>697</v>
      </c>
      <c r="C200" s="24" t="s">
        <v>823</v>
      </c>
      <c r="D200" s="24" t="s">
        <v>214</v>
      </c>
      <c r="E200" s="24" t="s">
        <v>382</v>
      </c>
      <c r="F200" s="24"/>
      <c r="G200" s="42">
        <f t="shared" ref="G200:H202" si="8">G201</f>
        <v>3694</v>
      </c>
      <c r="H200" s="42">
        <f t="shared" si="8"/>
        <v>3694</v>
      </c>
    </row>
    <row r="201" spans="1:8" x14ac:dyDescent="0.2">
      <c r="A201" s="80" t="s">
        <v>250</v>
      </c>
      <c r="B201" s="24" t="s">
        <v>697</v>
      </c>
      <c r="C201" s="24" t="s">
        <v>823</v>
      </c>
      <c r="D201" s="24" t="s">
        <v>214</v>
      </c>
      <c r="E201" s="24" t="s">
        <v>383</v>
      </c>
      <c r="F201" s="24"/>
      <c r="G201" s="42">
        <f t="shared" si="8"/>
        <v>3694</v>
      </c>
      <c r="H201" s="42">
        <f t="shared" si="8"/>
        <v>3694</v>
      </c>
    </row>
    <row r="202" spans="1:8" ht="24" x14ac:dyDescent="0.2">
      <c r="A202" s="85" t="s">
        <v>819</v>
      </c>
      <c r="B202" s="33" t="s">
        <v>697</v>
      </c>
      <c r="C202" s="33" t="s">
        <v>823</v>
      </c>
      <c r="D202" s="33" t="s">
        <v>214</v>
      </c>
      <c r="E202" s="33" t="s">
        <v>555</v>
      </c>
      <c r="F202" s="33"/>
      <c r="G202" s="101">
        <f t="shared" si="8"/>
        <v>3694</v>
      </c>
      <c r="H202" s="101">
        <f t="shared" si="8"/>
        <v>3694</v>
      </c>
    </row>
    <row r="203" spans="1:8" x14ac:dyDescent="0.2">
      <c r="A203" s="80" t="s">
        <v>168</v>
      </c>
      <c r="B203" s="24" t="s">
        <v>697</v>
      </c>
      <c r="C203" s="24" t="s">
        <v>823</v>
      </c>
      <c r="D203" s="24" t="s">
        <v>214</v>
      </c>
      <c r="E203" s="24" t="s">
        <v>555</v>
      </c>
      <c r="F203" s="24"/>
      <c r="G203" s="42">
        <f>G204+G206+G208</f>
        <v>3694</v>
      </c>
      <c r="H203" s="42">
        <f>H204+H206+H208</f>
        <v>3694</v>
      </c>
    </row>
    <row r="204" spans="1:8" ht="36" x14ac:dyDescent="0.2">
      <c r="A204" s="84" t="s">
        <v>217</v>
      </c>
      <c r="B204" s="30" t="s">
        <v>697</v>
      </c>
      <c r="C204" s="30" t="s">
        <v>823</v>
      </c>
      <c r="D204" s="30" t="s">
        <v>214</v>
      </c>
      <c r="E204" s="30" t="s">
        <v>555</v>
      </c>
      <c r="F204" s="30" t="s">
        <v>218</v>
      </c>
      <c r="G204" s="41">
        <f>G205</f>
        <v>3071</v>
      </c>
      <c r="H204" s="41">
        <f>H205</f>
        <v>3071</v>
      </c>
    </row>
    <row r="205" spans="1:8" x14ac:dyDescent="0.2">
      <c r="A205" s="84" t="s">
        <v>820</v>
      </c>
      <c r="B205" s="30" t="s">
        <v>697</v>
      </c>
      <c r="C205" s="30" t="s">
        <v>823</v>
      </c>
      <c r="D205" s="30" t="s">
        <v>214</v>
      </c>
      <c r="E205" s="30" t="s">
        <v>555</v>
      </c>
      <c r="F205" s="30" t="s">
        <v>821</v>
      </c>
      <c r="G205" s="41">
        <f>2271+114+686</f>
        <v>3071</v>
      </c>
      <c r="H205" s="41">
        <f>2271+114+686</f>
        <v>3071</v>
      </c>
    </row>
    <row r="206" spans="1:8" x14ac:dyDescent="0.2">
      <c r="A206" s="84" t="s">
        <v>473</v>
      </c>
      <c r="B206" s="30" t="s">
        <v>697</v>
      </c>
      <c r="C206" s="30" t="s">
        <v>823</v>
      </c>
      <c r="D206" s="30" t="s">
        <v>214</v>
      </c>
      <c r="E206" s="30" t="s">
        <v>555</v>
      </c>
      <c r="F206" s="30" t="s">
        <v>226</v>
      </c>
      <c r="G206" s="41">
        <f>G207</f>
        <v>617</v>
      </c>
      <c r="H206" s="41">
        <f>H207</f>
        <v>617</v>
      </c>
    </row>
    <row r="207" spans="1:8" ht="24" x14ac:dyDescent="0.2">
      <c r="A207" s="84" t="s">
        <v>227</v>
      </c>
      <c r="B207" s="30" t="s">
        <v>697</v>
      </c>
      <c r="C207" s="30" t="s">
        <v>823</v>
      </c>
      <c r="D207" s="30" t="s">
        <v>214</v>
      </c>
      <c r="E207" s="30" t="s">
        <v>555</v>
      </c>
      <c r="F207" s="30" t="s">
        <v>228</v>
      </c>
      <c r="G207" s="41">
        <v>617</v>
      </c>
      <c r="H207" s="41">
        <v>617</v>
      </c>
    </row>
    <row r="208" spans="1:8" x14ac:dyDescent="0.2">
      <c r="A208" s="84" t="s">
        <v>229</v>
      </c>
      <c r="B208" s="30" t="s">
        <v>697</v>
      </c>
      <c r="C208" s="30" t="s">
        <v>823</v>
      </c>
      <c r="D208" s="30" t="s">
        <v>214</v>
      </c>
      <c r="E208" s="30" t="s">
        <v>555</v>
      </c>
      <c r="F208" s="30" t="s">
        <v>230</v>
      </c>
      <c r="G208" s="41">
        <f>G209</f>
        <v>6</v>
      </c>
      <c r="H208" s="41">
        <f>H209</f>
        <v>6</v>
      </c>
    </row>
    <row r="209" spans="1:8" x14ac:dyDescent="0.2">
      <c r="A209" s="84" t="s">
        <v>311</v>
      </c>
      <c r="B209" s="30" t="s">
        <v>697</v>
      </c>
      <c r="C209" s="30" t="s">
        <v>823</v>
      </c>
      <c r="D209" s="30" t="s">
        <v>214</v>
      </c>
      <c r="E209" s="30" t="s">
        <v>555</v>
      </c>
      <c r="F209" s="30" t="s">
        <v>231</v>
      </c>
      <c r="G209" s="41">
        <v>6</v>
      </c>
      <c r="H209" s="41">
        <v>6</v>
      </c>
    </row>
    <row r="210" spans="1:8" ht="15.75" x14ac:dyDescent="0.2">
      <c r="A210" s="80" t="s">
        <v>680</v>
      </c>
      <c r="B210" s="24" t="s">
        <v>697</v>
      </c>
      <c r="C210" s="24" t="s">
        <v>823</v>
      </c>
      <c r="D210" s="24" t="s">
        <v>825</v>
      </c>
      <c r="E210" s="24" t="s">
        <v>382</v>
      </c>
      <c r="F210" s="47"/>
      <c r="G210" s="42">
        <f t="shared" ref="G210:H213" si="9">G211</f>
        <v>7000</v>
      </c>
      <c r="H210" s="42">
        <f t="shared" si="9"/>
        <v>7000</v>
      </c>
    </row>
    <row r="211" spans="1:8" x14ac:dyDescent="0.2">
      <c r="A211" s="80" t="s">
        <v>250</v>
      </c>
      <c r="B211" s="24" t="s">
        <v>697</v>
      </c>
      <c r="C211" s="24" t="s">
        <v>823</v>
      </c>
      <c r="D211" s="24" t="s">
        <v>825</v>
      </c>
      <c r="E211" s="24" t="s">
        <v>383</v>
      </c>
      <c r="F211" s="24"/>
      <c r="G211" s="42">
        <f t="shared" si="9"/>
        <v>7000</v>
      </c>
      <c r="H211" s="42">
        <f t="shared" si="9"/>
        <v>7000</v>
      </c>
    </row>
    <row r="212" spans="1:8" ht="24" x14ac:dyDescent="0.2">
      <c r="A212" s="80" t="s">
        <v>171</v>
      </c>
      <c r="B212" s="24" t="s">
        <v>697</v>
      </c>
      <c r="C212" s="24" t="s">
        <v>823</v>
      </c>
      <c r="D212" s="24" t="s">
        <v>825</v>
      </c>
      <c r="E212" s="24" t="s">
        <v>556</v>
      </c>
      <c r="F212" s="24"/>
      <c r="G212" s="42">
        <f t="shared" si="9"/>
        <v>7000</v>
      </c>
      <c r="H212" s="42">
        <f t="shared" si="9"/>
        <v>7000</v>
      </c>
    </row>
    <row r="213" spans="1:8" ht="24" x14ac:dyDescent="0.2">
      <c r="A213" s="84" t="s">
        <v>246</v>
      </c>
      <c r="B213" s="30" t="s">
        <v>697</v>
      </c>
      <c r="C213" s="30" t="s">
        <v>823</v>
      </c>
      <c r="D213" s="30" t="s">
        <v>825</v>
      </c>
      <c r="E213" s="30" t="s">
        <v>556</v>
      </c>
      <c r="F213" s="30" t="s">
        <v>702</v>
      </c>
      <c r="G213" s="41">
        <f t="shared" si="9"/>
        <v>7000</v>
      </c>
      <c r="H213" s="41">
        <f t="shared" si="9"/>
        <v>7000</v>
      </c>
    </row>
    <row r="214" spans="1:8" x14ac:dyDescent="0.2">
      <c r="A214" s="84" t="s">
        <v>247</v>
      </c>
      <c r="B214" s="30" t="s">
        <v>697</v>
      </c>
      <c r="C214" s="30" t="s">
        <v>823</v>
      </c>
      <c r="D214" s="30" t="s">
        <v>825</v>
      </c>
      <c r="E214" s="30" t="s">
        <v>556</v>
      </c>
      <c r="F214" s="30" t="s">
        <v>724</v>
      </c>
      <c r="G214" s="41">
        <v>7000</v>
      </c>
      <c r="H214" s="41">
        <v>7000</v>
      </c>
    </row>
    <row r="215" spans="1:8" ht="31.5" x14ac:dyDescent="0.2">
      <c r="A215" s="79" t="s">
        <v>351</v>
      </c>
      <c r="B215" s="46">
        <v>599</v>
      </c>
      <c r="C215" s="47"/>
      <c r="D215" s="47"/>
      <c r="E215" s="46"/>
      <c r="F215" s="46"/>
      <c r="G215" s="102">
        <f>G216+G246+G240</f>
        <v>16846.400000000001</v>
      </c>
      <c r="H215" s="102">
        <f>H216+H246+H240</f>
        <v>16851.849999999999</v>
      </c>
    </row>
    <row r="216" spans="1:8" x14ac:dyDescent="0.2">
      <c r="A216" s="80" t="s">
        <v>256</v>
      </c>
      <c r="B216" s="24" t="s">
        <v>701</v>
      </c>
      <c r="C216" s="24" t="s">
        <v>214</v>
      </c>
      <c r="D216" s="24" t="s">
        <v>215</v>
      </c>
      <c r="E216" s="24"/>
      <c r="F216" s="24"/>
      <c r="G216" s="42">
        <f>G217+G228+G234</f>
        <v>15971.400000000001</v>
      </c>
      <c r="H216" s="42">
        <f>H217+H228+H234</f>
        <v>15976.85</v>
      </c>
    </row>
    <row r="217" spans="1:8" ht="36" x14ac:dyDescent="0.2">
      <c r="A217" s="80" t="s">
        <v>501</v>
      </c>
      <c r="B217" s="24" t="s">
        <v>701</v>
      </c>
      <c r="C217" s="24" t="s">
        <v>214</v>
      </c>
      <c r="D217" s="24" t="s">
        <v>216</v>
      </c>
      <c r="E217" s="24"/>
      <c r="F217" s="24"/>
      <c r="G217" s="42">
        <f>G218</f>
        <v>15475.2</v>
      </c>
      <c r="H217" s="42">
        <f>H218</f>
        <v>15475.2</v>
      </c>
    </row>
    <row r="218" spans="1:8" x14ac:dyDescent="0.2">
      <c r="A218" s="81" t="s">
        <v>212</v>
      </c>
      <c r="B218" s="25" t="s">
        <v>701</v>
      </c>
      <c r="C218" s="25" t="s">
        <v>214</v>
      </c>
      <c r="D218" s="25" t="s">
        <v>216</v>
      </c>
      <c r="E218" s="25" t="s">
        <v>382</v>
      </c>
      <c r="F218" s="25"/>
      <c r="G218" s="45">
        <f>G219</f>
        <v>15475.2</v>
      </c>
      <c r="H218" s="45">
        <f>H219</f>
        <v>15475.2</v>
      </c>
    </row>
    <row r="219" spans="1:8" x14ac:dyDescent="0.2">
      <c r="A219" s="82" t="s">
        <v>476</v>
      </c>
      <c r="B219" s="24" t="s">
        <v>701</v>
      </c>
      <c r="C219" s="24" t="s">
        <v>214</v>
      </c>
      <c r="D219" s="24" t="s">
        <v>216</v>
      </c>
      <c r="E219" s="24" t="s">
        <v>383</v>
      </c>
      <c r="F219" s="24"/>
      <c r="G219" s="42">
        <f>G220+G223</f>
        <v>15475.2</v>
      </c>
      <c r="H219" s="42">
        <f>H220+H223</f>
        <v>15475.2</v>
      </c>
    </row>
    <row r="220" spans="1:8" ht="24" x14ac:dyDescent="0.2">
      <c r="A220" s="82" t="s">
        <v>475</v>
      </c>
      <c r="B220" s="24" t="s">
        <v>701</v>
      </c>
      <c r="C220" s="24" t="s">
        <v>214</v>
      </c>
      <c r="D220" s="24" t="s">
        <v>216</v>
      </c>
      <c r="E220" s="24" t="s">
        <v>384</v>
      </c>
      <c r="F220" s="24"/>
      <c r="G220" s="42">
        <f>G221</f>
        <v>12805.2</v>
      </c>
      <c r="H220" s="42">
        <f>H221</f>
        <v>12805.2</v>
      </c>
    </row>
    <row r="221" spans="1:8" ht="36" x14ac:dyDescent="0.2">
      <c r="A221" s="84" t="s">
        <v>217</v>
      </c>
      <c r="B221" s="30" t="s">
        <v>701</v>
      </c>
      <c r="C221" s="30" t="s">
        <v>214</v>
      </c>
      <c r="D221" s="30" t="s">
        <v>216</v>
      </c>
      <c r="E221" s="30" t="s">
        <v>384</v>
      </c>
      <c r="F221" s="30" t="s">
        <v>218</v>
      </c>
      <c r="G221" s="41">
        <f>G222</f>
        <v>12805.2</v>
      </c>
      <c r="H221" s="41">
        <f>H222</f>
        <v>12805.2</v>
      </c>
    </row>
    <row r="222" spans="1:8" x14ac:dyDescent="0.2">
      <c r="A222" s="84" t="s">
        <v>219</v>
      </c>
      <c r="B222" s="30" t="s">
        <v>701</v>
      </c>
      <c r="C222" s="30" t="s">
        <v>214</v>
      </c>
      <c r="D222" s="30" t="s">
        <v>216</v>
      </c>
      <c r="E222" s="30" t="s">
        <v>384</v>
      </c>
      <c r="F222" s="30" t="s">
        <v>224</v>
      </c>
      <c r="G222" s="41">
        <f>9835.2+2970</f>
        <v>12805.2</v>
      </c>
      <c r="H222" s="41">
        <f>9835.2+2970</f>
        <v>12805.2</v>
      </c>
    </row>
    <row r="223" spans="1:8" x14ac:dyDescent="0.2">
      <c r="A223" s="80" t="s">
        <v>225</v>
      </c>
      <c r="B223" s="24" t="s">
        <v>701</v>
      </c>
      <c r="C223" s="24" t="s">
        <v>214</v>
      </c>
      <c r="D223" s="24" t="s">
        <v>216</v>
      </c>
      <c r="E223" s="24" t="s">
        <v>385</v>
      </c>
      <c r="F223" s="24"/>
      <c r="G223" s="42">
        <f>G224+G226</f>
        <v>2670</v>
      </c>
      <c r="H223" s="42">
        <f>H224+H226</f>
        <v>2670</v>
      </c>
    </row>
    <row r="224" spans="1:8" x14ac:dyDescent="0.2">
      <c r="A224" s="84" t="s">
        <v>473</v>
      </c>
      <c r="B224" s="30" t="s">
        <v>701</v>
      </c>
      <c r="C224" s="30" t="s">
        <v>214</v>
      </c>
      <c r="D224" s="30" t="s">
        <v>216</v>
      </c>
      <c r="E224" s="30" t="s">
        <v>385</v>
      </c>
      <c r="F224" s="30" t="s">
        <v>226</v>
      </c>
      <c r="G224" s="41">
        <f>G225</f>
        <v>2630</v>
      </c>
      <c r="H224" s="41">
        <f>H225</f>
        <v>2630</v>
      </c>
    </row>
    <row r="225" spans="1:8" ht="24" x14ac:dyDescent="0.2">
      <c r="A225" s="84" t="s">
        <v>227</v>
      </c>
      <c r="B225" s="30" t="s">
        <v>701</v>
      </c>
      <c r="C225" s="30" t="s">
        <v>214</v>
      </c>
      <c r="D225" s="30" t="s">
        <v>216</v>
      </c>
      <c r="E225" s="30" t="s">
        <v>385</v>
      </c>
      <c r="F225" s="30" t="s">
        <v>228</v>
      </c>
      <c r="G225" s="41">
        <v>2630</v>
      </c>
      <c r="H225" s="41">
        <v>2630</v>
      </c>
    </row>
    <row r="226" spans="1:8" x14ac:dyDescent="0.2">
      <c r="A226" s="84" t="s">
        <v>229</v>
      </c>
      <c r="B226" s="30" t="s">
        <v>701</v>
      </c>
      <c r="C226" s="30" t="s">
        <v>214</v>
      </c>
      <c r="D226" s="30" t="s">
        <v>216</v>
      </c>
      <c r="E226" s="30" t="s">
        <v>385</v>
      </c>
      <c r="F226" s="30" t="s">
        <v>230</v>
      </c>
      <c r="G226" s="41">
        <f>G227</f>
        <v>40</v>
      </c>
      <c r="H226" s="41">
        <f>H227</f>
        <v>40</v>
      </c>
    </row>
    <row r="227" spans="1:8" x14ac:dyDescent="0.2">
      <c r="A227" s="84" t="s">
        <v>106</v>
      </c>
      <c r="B227" s="30" t="s">
        <v>701</v>
      </c>
      <c r="C227" s="30" t="s">
        <v>214</v>
      </c>
      <c r="D227" s="30" t="s">
        <v>216</v>
      </c>
      <c r="E227" s="30" t="s">
        <v>385</v>
      </c>
      <c r="F227" s="30" t="s">
        <v>231</v>
      </c>
      <c r="G227" s="41">
        <v>40</v>
      </c>
      <c r="H227" s="41">
        <v>40</v>
      </c>
    </row>
    <row r="228" spans="1:8" x14ac:dyDescent="0.2">
      <c r="A228" s="80" t="s">
        <v>760</v>
      </c>
      <c r="B228" s="24" t="s">
        <v>701</v>
      </c>
      <c r="C228" s="24" t="s">
        <v>214</v>
      </c>
      <c r="D228" s="24" t="s">
        <v>731</v>
      </c>
      <c r="E228" s="24"/>
      <c r="F228" s="24"/>
      <c r="G228" s="117">
        <f t="shared" ref="G228:H232" si="10">G229</f>
        <v>96.2</v>
      </c>
      <c r="H228" s="117">
        <f t="shared" si="10"/>
        <v>101.65</v>
      </c>
    </row>
    <row r="229" spans="1:8" x14ac:dyDescent="0.2">
      <c r="A229" s="81" t="s">
        <v>212</v>
      </c>
      <c r="B229" s="25" t="s">
        <v>701</v>
      </c>
      <c r="C229" s="25" t="s">
        <v>214</v>
      </c>
      <c r="D229" s="25" t="s">
        <v>731</v>
      </c>
      <c r="E229" s="25" t="s">
        <v>382</v>
      </c>
      <c r="F229" s="30"/>
      <c r="G229" s="122">
        <f t="shared" si="10"/>
        <v>96.2</v>
      </c>
      <c r="H229" s="122">
        <f t="shared" si="10"/>
        <v>101.65</v>
      </c>
    </row>
    <row r="230" spans="1:8" x14ac:dyDescent="0.2">
      <c r="A230" s="82" t="s">
        <v>476</v>
      </c>
      <c r="B230" s="24" t="s">
        <v>701</v>
      </c>
      <c r="C230" s="24" t="s">
        <v>214</v>
      </c>
      <c r="D230" s="24" t="s">
        <v>731</v>
      </c>
      <c r="E230" s="24" t="s">
        <v>383</v>
      </c>
      <c r="F230" s="30"/>
      <c r="G230" s="117">
        <f t="shared" si="10"/>
        <v>96.2</v>
      </c>
      <c r="H230" s="117">
        <f t="shared" si="10"/>
        <v>101.65</v>
      </c>
    </row>
    <row r="231" spans="1:8" ht="36" x14ac:dyDescent="0.2">
      <c r="A231" s="80" t="s">
        <v>764</v>
      </c>
      <c r="B231" s="24" t="s">
        <v>701</v>
      </c>
      <c r="C231" s="24" t="s">
        <v>214</v>
      </c>
      <c r="D231" s="24" t="s">
        <v>731</v>
      </c>
      <c r="E231" s="24" t="s">
        <v>559</v>
      </c>
      <c r="F231" s="24"/>
      <c r="G231" s="117">
        <f t="shared" si="10"/>
        <v>96.2</v>
      </c>
      <c r="H231" s="117">
        <f t="shared" si="10"/>
        <v>101.65</v>
      </c>
    </row>
    <row r="232" spans="1:8" x14ac:dyDescent="0.2">
      <c r="A232" s="84" t="s">
        <v>473</v>
      </c>
      <c r="B232" s="30" t="s">
        <v>701</v>
      </c>
      <c r="C232" s="30" t="s">
        <v>214</v>
      </c>
      <c r="D232" s="30" t="s">
        <v>731</v>
      </c>
      <c r="E232" s="30" t="s">
        <v>559</v>
      </c>
      <c r="F232" s="30" t="s">
        <v>226</v>
      </c>
      <c r="G232" s="118">
        <f t="shared" si="10"/>
        <v>96.2</v>
      </c>
      <c r="H232" s="118">
        <f t="shared" si="10"/>
        <v>101.65</v>
      </c>
    </row>
    <row r="233" spans="1:8" ht="24" x14ac:dyDescent="0.2">
      <c r="A233" s="84" t="s">
        <v>227</v>
      </c>
      <c r="B233" s="30" t="s">
        <v>701</v>
      </c>
      <c r="C233" s="30" t="s">
        <v>214</v>
      </c>
      <c r="D233" s="30" t="s">
        <v>731</v>
      </c>
      <c r="E233" s="30" t="s">
        <v>559</v>
      </c>
      <c r="F233" s="30" t="s">
        <v>228</v>
      </c>
      <c r="G233" s="118">
        <v>96.2</v>
      </c>
      <c r="H233" s="118">
        <v>101.65</v>
      </c>
    </row>
    <row r="234" spans="1:8" x14ac:dyDescent="0.2">
      <c r="A234" s="61" t="s">
        <v>509</v>
      </c>
      <c r="B234" s="24" t="s">
        <v>701</v>
      </c>
      <c r="C234" s="24" t="s">
        <v>214</v>
      </c>
      <c r="D234" s="24" t="s">
        <v>235</v>
      </c>
      <c r="E234" s="24"/>
      <c r="F234" s="24"/>
      <c r="G234" s="42">
        <f t="shared" ref="G234:H238" si="11">G235</f>
        <v>400</v>
      </c>
      <c r="H234" s="42">
        <f t="shared" si="11"/>
        <v>400</v>
      </c>
    </row>
    <row r="235" spans="1:8" x14ac:dyDescent="0.2">
      <c r="A235" s="62" t="s">
        <v>212</v>
      </c>
      <c r="B235" s="25">
        <v>599</v>
      </c>
      <c r="C235" s="25" t="s">
        <v>214</v>
      </c>
      <c r="D235" s="25" t="s">
        <v>235</v>
      </c>
      <c r="E235" s="25" t="s">
        <v>382</v>
      </c>
      <c r="F235" s="25"/>
      <c r="G235" s="45">
        <f t="shared" si="11"/>
        <v>400</v>
      </c>
      <c r="H235" s="45">
        <f t="shared" si="11"/>
        <v>400</v>
      </c>
    </row>
    <row r="236" spans="1:8" x14ac:dyDescent="0.2">
      <c r="A236" s="61" t="s">
        <v>476</v>
      </c>
      <c r="B236" s="24" t="s">
        <v>701</v>
      </c>
      <c r="C236" s="24" t="s">
        <v>214</v>
      </c>
      <c r="D236" s="24" t="s">
        <v>235</v>
      </c>
      <c r="E236" s="24" t="s">
        <v>383</v>
      </c>
      <c r="F236" s="24"/>
      <c r="G236" s="42">
        <f t="shared" si="11"/>
        <v>400</v>
      </c>
      <c r="H236" s="42">
        <f t="shared" si="11"/>
        <v>400</v>
      </c>
    </row>
    <row r="237" spans="1:8" x14ac:dyDescent="0.2">
      <c r="A237" s="62" t="s">
        <v>578</v>
      </c>
      <c r="B237" s="25" t="s">
        <v>701</v>
      </c>
      <c r="C237" s="25" t="s">
        <v>214</v>
      </c>
      <c r="D237" s="25" t="s">
        <v>235</v>
      </c>
      <c r="E237" s="25" t="s">
        <v>579</v>
      </c>
      <c r="F237" s="25"/>
      <c r="G237" s="45">
        <f t="shared" si="11"/>
        <v>400</v>
      </c>
      <c r="H237" s="45">
        <f t="shared" si="11"/>
        <v>400</v>
      </c>
    </row>
    <row r="238" spans="1:8" ht="36" x14ac:dyDescent="0.2">
      <c r="A238" s="84" t="s">
        <v>217</v>
      </c>
      <c r="B238" s="30" t="s">
        <v>701</v>
      </c>
      <c r="C238" s="30" t="s">
        <v>214</v>
      </c>
      <c r="D238" s="30" t="s">
        <v>235</v>
      </c>
      <c r="E238" s="30" t="s">
        <v>579</v>
      </c>
      <c r="F238" s="30" t="s">
        <v>218</v>
      </c>
      <c r="G238" s="41">
        <f t="shared" si="11"/>
        <v>400</v>
      </c>
      <c r="H238" s="41">
        <f t="shared" si="11"/>
        <v>400</v>
      </c>
    </row>
    <row r="239" spans="1:8" x14ac:dyDescent="0.2">
      <c r="A239" s="84" t="s">
        <v>219</v>
      </c>
      <c r="B239" s="30" t="s">
        <v>701</v>
      </c>
      <c r="C239" s="30" t="s">
        <v>214</v>
      </c>
      <c r="D239" s="30" t="s">
        <v>235</v>
      </c>
      <c r="E239" s="30" t="s">
        <v>579</v>
      </c>
      <c r="F239" s="30" t="s">
        <v>224</v>
      </c>
      <c r="G239" s="41">
        <v>400</v>
      </c>
      <c r="H239" s="41">
        <v>400</v>
      </c>
    </row>
    <row r="240" spans="1:8" x14ac:dyDescent="0.2">
      <c r="A240" s="80" t="s">
        <v>667</v>
      </c>
      <c r="B240" s="24" t="s">
        <v>701</v>
      </c>
      <c r="C240" s="24" t="s">
        <v>731</v>
      </c>
      <c r="D240" s="24" t="s">
        <v>215</v>
      </c>
      <c r="E240" s="24"/>
      <c r="F240" s="24"/>
      <c r="G240" s="42">
        <f t="shared" ref="G240:H244" si="12">G241</f>
        <v>500</v>
      </c>
      <c r="H240" s="42">
        <f t="shared" si="12"/>
        <v>500</v>
      </c>
    </row>
    <row r="241" spans="1:8" x14ac:dyDescent="0.2">
      <c r="A241" s="80" t="s">
        <v>671</v>
      </c>
      <c r="B241" s="24" t="s">
        <v>701</v>
      </c>
      <c r="C241" s="24" t="s">
        <v>731</v>
      </c>
      <c r="D241" s="24" t="s">
        <v>817</v>
      </c>
      <c r="E241" s="24"/>
      <c r="F241" s="24"/>
      <c r="G241" s="42">
        <f t="shared" si="12"/>
        <v>500</v>
      </c>
      <c r="H241" s="42">
        <f t="shared" si="12"/>
        <v>500</v>
      </c>
    </row>
    <row r="242" spans="1:8" ht="27" x14ac:dyDescent="0.2">
      <c r="A242" s="86" t="s">
        <v>439</v>
      </c>
      <c r="B242" s="53" t="s">
        <v>701</v>
      </c>
      <c r="C242" s="53" t="s">
        <v>731</v>
      </c>
      <c r="D242" s="53" t="s">
        <v>817</v>
      </c>
      <c r="E242" s="93" t="s">
        <v>425</v>
      </c>
      <c r="F242" s="53"/>
      <c r="G242" s="57">
        <f t="shared" si="12"/>
        <v>500</v>
      </c>
      <c r="H242" s="57">
        <f t="shared" si="12"/>
        <v>500</v>
      </c>
    </row>
    <row r="243" spans="1:8" ht="24" x14ac:dyDescent="0.2">
      <c r="A243" s="80" t="s">
        <v>418</v>
      </c>
      <c r="B243" s="24" t="s">
        <v>701</v>
      </c>
      <c r="C243" s="24" t="s">
        <v>731</v>
      </c>
      <c r="D243" s="24" t="s">
        <v>817</v>
      </c>
      <c r="E243" s="24" t="s">
        <v>41</v>
      </c>
      <c r="F243" s="24"/>
      <c r="G243" s="117">
        <f t="shared" si="12"/>
        <v>500</v>
      </c>
      <c r="H243" s="117">
        <f t="shared" si="12"/>
        <v>500</v>
      </c>
    </row>
    <row r="244" spans="1:8" x14ac:dyDescent="0.2">
      <c r="A244" s="84" t="s">
        <v>473</v>
      </c>
      <c r="B244" s="30" t="s">
        <v>701</v>
      </c>
      <c r="C244" s="30" t="s">
        <v>731</v>
      </c>
      <c r="D244" s="30" t="s">
        <v>817</v>
      </c>
      <c r="E244" s="30" t="s">
        <v>41</v>
      </c>
      <c r="F244" s="30" t="s">
        <v>226</v>
      </c>
      <c r="G244" s="118">
        <f t="shared" si="12"/>
        <v>500</v>
      </c>
      <c r="H244" s="118">
        <f t="shared" si="12"/>
        <v>500</v>
      </c>
    </row>
    <row r="245" spans="1:8" ht="24" x14ac:dyDescent="0.2">
      <c r="A245" s="84" t="s">
        <v>227</v>
      </c>
      <c r="B245" s="30" t="s">
        <v>701</v>
      </c>
      <c r="C245" s="30" t="s">
        <v>731</v>
      </c>
      <c r="D245" s="30" t="s">
        <v>817</v>
      </c>
      <c r="E245" s="30" t="s">
        <v>41</v>
      </c>
      <c r="F245" s="30" t="s">
        <v>228</v>
      </c>
      <c r="G245" s="118">
        <v>500</v>
      </c>
      <c r="H245" s="118">
        <v>500</v>
      </c>
    </row>
    <row r="246" spans="1:8" x14ac:dyDescent="0.2">
      <c r="A246" s="80" t="s">
        <v>673</v>
      </c>
      <c r="B246" s="24" t="s">
        <v>701</v>
      </c>
      <c r="C246" s="24" t="s">
        <v>824</v>
      </c>
      <c r="D246" s="24" t="s">
        <v>215</v>
      </c>
      <c r="E246" s="30"/>
      <c r="F246" s="30"/>
      <c r="G246" s="42">
        <f t="shared" ref="G246:H251" si="13">G247</f>
        <v>375</v>
      </c>
      <c r="H246" s="42">
        <f t="shared" si="13"/>
        <v>375</v>
      </c>
    </row>
    <row r="247" spans="1:8" x14ac:dyDescent="0.2">
      <c r="A247" s="80" t="s">
        <v>676</v>
      </c>
      <c r="B247" s="24" t="s">
        <v>701</v>
      </c>
      <c r="C247" s="24" t="s">
        <v>824</v>
      </c>
      <c r="D247" s="24" t="s">
        <v>824</v>
      </c>
      <c r="E247" s="24"/>
      <c r="F247" s="24"/>
      <c r="G247" s="42">
        <f t="shared" si="13"/>
        <v>375</v>
      </c>
      <c r="H247" s="42">
        <f t="shared" si="13"/>
        <v>375</v>
      </c>
    </row>
    <row r="248" spans="1:8" x14ac:dyDescent="0.2">
      <c r="A248" s="81" t="s">
        <v>212</v>
      </c>
      <c r="B248" s="25">
        <v>599</v>
      </c>
      <c r="C248" s="25" t="s">
        <v>824</v>
      </c>
      <c r="D248" s="25" t="s">
        <v>824</v>
      </c>
      <c r="E248" s="25" t="s">
        <v>382</v>
      </c>
      <c r="F248" s="25"/>
      <c r="G248" s="45">
        <f t="shared" si="13"/>
        <v>375</v>
      </c>
      <c r="H248" s="45">
        <f t="shared" si="13"/>
        <v>375</v>
      </c>
    </row>
    <row r="249" spans="1:8" x14ac:dyDescent="0.2">
      <c r="A249" s="82" t="s">
        <v>476</v>
      </c>
      <c r="B249" s="24" t="s">
        <v>701</v>
      </c>
      <c r="C249" s="24" t="s">
        <v>824</v>
      </c>
      <c r="D249" s="24" t="s">
        <v>824</v>
      </c>
      <c r="E249" s="24" t="s">
        <v>383</v>
      </c>
      <c r="F249" s="24"/>
      <c r="G249" s="42">
        <f t="shared" si="13"/>
        <v>375</v>
      </c>
      <c r="H249" s="42">
        <f t="shared" si="13"/>
        <v>375</v>
      </c>
    </row>
    <row r="250" spans="1:8" x14ac:dyDescent="0.2">
      <c r="A250" s="81" t="s">
        <v>514</v>
      </c>
      <c r="B250" s="25" t="s">
        <v>701</v>
      </c>
      <c r="C250" s="25" t="s">
        <v>824</v>
      </c>
      <c r="D250" s="25" t="s">
        <v>824</v>
      </c>
      <c r="E250" s="25" t="s">
        <v>42</v>
      </c>
      <c r="F250" s="25"/>
      <c r="G250" s="45">
        <f t="shared" si="13"/>
        <v>375</v>
      </c>
      <c r="H250" s="45">
        <f t="shared" si="13"/>
        <v>375</v>
      </c>
    </row>
    <row r="251" spans="1:8" x14ac:dyDescent="0.2">
      <c r="A251" s="84" t="s">
        <v>473</v>
      </c>
      <c r="B251" s="30" t="s">
        <v>701</v>
      </c>
      <c r="C251" s="30" t="s">
        <v>824</v>
      </c>
      <c r="D251" s="30" t="s">
        <v>824</v>
      </c>
      <c r="E251" s="30" t="s">
        <v>42</v>
      </c>
      <c r="F251" s="30" t="s">
        <v>226</v>
      </c>
      <c r="G251" s="41">
        <f t="shared" si="13"/>
        <v>375</v>
      </c>
      <c r="H251" s="41">
        <f t="shared" si="13"/>
        <v>375</v>
      </c>
    </row>
    <row r="252" spans="1:8" ht="24" x14ac:dyDescent="0.2">
      <c r="A252" s="84" t="s">
        <v>227</v>
      </c>
      <c r="B252" s="30" t="s">
        <v>701</v>
      </c>
      <c r="C252" s="30" t="s">
        <v>824</v>
      </c>
      <c r="D252" s="30" t="s">
        <v>824</v>
      </c>
      <c r="E252" s="30" t="s">
        <v>42</v>
      </c>
      <c r="F252" s="30" t="s">
        <v>228</v>
      </c>
      <c r="G252" s="41">
        <v>375</v>
      </c>
      <c r="H252" s="41">
        <v>375</v>
      </c>
    </row>
    <row r="253" spans="1:8" ht="31.5" x14ac:dyDescent="0.2">
      <c r="A253" s="79" t="s">
        <v>352</v>
      </c>
      <c r="B253" s="46" t="s">
        <v>702</v>
      </c>
      <c r="C253" s="47"/>
      <c r="D253" s="47"/>
      <c r="E253" s="46"/>
      <c r="F253" s="46"/>
      <c r="G253" s="102">
        <f>G254+G284+G278</f>
        <v>18191.2</v>
      </c>
      <c r="H253" s="102">
        <f>H254+H284+H278</f>
        <v>18196.650000000001</v>
      </c>
    </row>
    <row r="254" spans="1:8" x14ac:dyDescent="0.2">
      <c r="A254" s="80" t="s">
        <v>256</v>
      </c>
      <c r="B254" s="24" t="s">
        <v>702</v>
      </c>
      <c r="C254" s="24" t="s">
        <v>214</v>
      </c>
      <c r="D254" s="24" t="s">
        <v>215</v>
      </c>
      <c r="E254" s="24"/>
      <c r="F254" s="24"/>
      <c r="G254" s="42">
        <f>G255+G266+G272</f>
        <v>17316.2</v>
      </c>
      <c r="H254" s="42">
        <f>H255+H266+H272</f>
        <v>17321.650000000001</v>
      </c>
    </row>
    <row r="255" spans="1:8" ht="36" x14ac:dyDescent="0.2">
      <c r="A255" s="80" t="s">
        <v>501</v>
      </c>
      <c r="B255" s="24" t="s">
        <v>702</v>
      </c>
      <c r="C255" s="24" t="s">
        <v>214</v>
      </c>
      <c r="D255" s="24" t="s">
        <v>216</v>
      </c>
      <c r="E255" s="24"/>
      <c r="F255" s="24"/>
      <c r="G255" s="42">
        <f>G256</f>
        <v>16820</v>
      </c>
      <c r="H255" s="42">
        <f>H256</f>
        <v>16820</v>
      </c>
    </row>
    <row r="256" spans="1:8" x14ac:dyDescent="0.2">
      <c r="A256" s="81" t="s">
        <v>212</v>
      </c>
      <c r="B256" s="25" t="s">
        <v>702</v>
      </c>
      <c r="C256" s="25" t="s">
        <v>214</v>
      </c>
      <c r="D256" s="25" t="s">
        <v>216</v>
      </c>
      <c r="E256" s="25" t="s">
        <v>382</v>
      </c>
      <c r="F256" s="25"/>
      <c r="G256" s="45">
        <f>G257</f>
        <v>16820</v>
      </c>
      <c r="H256" s="45">
        <f>H257</f>
        <v>16820</v>
      </c>
    </row>
    <row r="257" spans="1:8" x14ac:dyDescent="0.2">
      <c r="A257" s="82" t="s">
        <v>476</v>
      </c>
      <c r="B257" s="24" t="s">
        <v>702</v>
      </c>
      <c r="C257" s="24" t="s">
        <v>214</v>
      </c>
      <c r="D257" s="24" t="s">
        <v>216</v>
      </c>
      <c r="E257" s="24" t="s">
        <v>383</v>
      </c>
      <c r="F257" s="24"/>
      <c r="G257" s="42">
        <f>G258+G261</f>
        <v>16820</v>
      </c>
      <c r="H257" s="42">
        <f>H258+H261</f>
        <v>16820</v>
      </c>
    </row>
    <row r="258" spans="1:8" s="49" customFormat="1" ht="24" x14ac:dyDescent="0.2">
      <c r="A258" s="82" t="s">
        <v>475</v>
      </c>
      <c r="B258" s="24" t="s">
        <v>702</v>
      </c>
      <c r="C258" s="24" t="s">
        <v>214</v>
      </c>
      <c r="D258" s="24" t="s">
        <v>216</v>
      </c>
      <c r="E258" s="24" t="s">
        <v>384</v>
      </c>
      <c r="F258" s="24"/>
      <c r="G258" s="42">
        <f>G259</f>
        <v>13870</v>
      </c>
      <c r="H258" s="42">
        <f>H259</f>
        <v>13870</v>
      </c>
    </row>
    <row r="259" spans="1:8" s="49" customFormat="1" ht="36" x14ac:dyDescent="0.2">
      <c r="A259" s="84" t="s">
        <v>217</v>
      </c>
      <c r="B259" s="30" t="s">
        <v>702</v>
      </c>
      <c r="C259" s="30" t="s">
        <v>214</v>
      </c>
      <c r="D259" s="30" t="s">
        <v>216</v>
      </c>
      <c r="E259" s="30" t="s">
        <v>384</v>
      </c>
      <c r="F259" s="30" t="s">
        <v>218</v>
      </c>
      <c r="G259" s="41">
        <f>G260</f>
        <v>13870</v>
      </c>
      <c r="H259" s="41">
        <f>H260</f>
        <v>13870</v>
      </c>
    </row>
    <row r="260" spans="1:8" s="49" customFormat="1" x14ac:dyDescent="0.2">
      <c r="A260" s="84" t="s">
        <v>219</v>
      </c>
      <c r="B260" s="30" t="s">
        <v>702</v>
      </c>
      <c r="C260" s="30" t="s">
        <v>214</v>
      </c>
      <c r="D260" s="30" t="s">
        <v>216</v>
      </c>
      <c r="E260" s="30" t="s">
        <v>384</v>
      </c>
      <c r="F260" s="30" t="s">
        <v>224</v>
      </c>
      <c r="G260" s="41">
        <f>10650+3220</f>
        <v>13870</v>
      </c>
      <c r="H260" s="41">
        <f>10650+3220</f>
        <v>13870</v>
      </c>
    </row>
    <row r="261" spans="1:8" s="49" customFormat="1" x14ac:dyDescent="0.2">
      <c r="A261" s="80" t="s">
        <v>225</v>
      </c>
      <c r="B261" s="24" t="s">
        <v>702</v>
      </c>
      <c r="C261" s="24" t="s">
        <v>214</v>
      </c>
      <c r="D261" s="24" t="s">
        <v>216</v>
      </c>
      <c r="E261" s="24" t="s">
        <v>385</v>
      </c>
      <c r="F261" s="24"/>
      <c r="G261" s="42">
        <f>G262+G264</f>
        <v>2950</v>
      </c>
      <c r="H261" s="42">
        <f>H262+H264</f>
        <v>2950</v>
      </c>
    </row>
    <row r="262" spans="1:8" s="49" customFormat="1" x14ac:dyDescent="0.2">
      <c r="A262" s="84" t="s">
        <v>473</v>
      </c>
      <c r="B262" s="30" t="s">
        <v>702</v>
      </c>
      <c r="C262" s="30" t="s">
        <v>214</v>
      </c>
      <c r="D262" s="30" t="s">
        <v>216</v>
      </c>
      <c r="E262" s="30" t="s">
        <v>385</v>
      </c>
      <c r="F262" s="30" t="s">
        <v>226</v>
      </c>
      <c r="G262" s="41">
        <f>G263</f>
        <v>2800</v>
      </c>
      <c r="H262" s="41">
        <f>H263</f>
        <v>2800</v>
      </c>
    </row>
    <row r="263" spans="1:8" s="49" customFormat="1" ht="24" x14ac:dyDescent="0.2">
      <c r="A263" s="84" t="s">
        <v>227</v>
      </c>
      <c r="B263" s="30" t="s">
        <v>702</v>
      </c>
      <c r="C263" s="30" t="s">
        <v>214</v>
      </c>
      <c r="D263" s="30" t="s">
        <v>216</v>
      </c>
      <c r="E263" s="30" t="s">
        <v>385</v>
      </c>
      <c r="F263" s="30" t="s">
        <v>228</v>
      </c>
      <c r="G263" s="41">
        <v>2800</v>
      </c>
      <c r="H263" s="41">
        <v>2800</v>
      </c>
    </row>
    <row r="264" spans="1:8" s="49" customFormat="1" x14ac:dyDescent="0.2">
      <c r="A264" s="84" t="s">
        <v>229</v>
      </c>
      <c r="B264" s="30" t="s">
        <v>702</v>
      </c>
      <c r="C264" s="30" t="s">
        <v>214</v>
      </c>
      <c r="D264" s="30" t="s">
        <v>216</v>
      </c>
      <c r="E264" s="30" t="s">
        <v>385</v>
      </c>
      <c r="F264" s="30" t="s">
        <v>230</v>
      </c>
      <c r="G264" s="41">
        <f>G265</f>
        <v>150</v>
      </c>
      <c r="H264" s="41">
        <f>H265</f>
        <v>150</v>
      </c>
    </row>
    <row r="265" spans="1:8" s="49" customFormat="1" x14ac:dyDescent="0.2">
      <c r="A265" s="84" t="s">
        <v>106</v>
      </c>
      <c r="B265" s="30" t="s">
        <v>702</v>
      </c>
      <c r="C265" s="30" t="s">
        <v>214</v>
      </c>
      <c r="D265" s="30" t="s">
        <v>216</v>
      </c>
      <c r="E265" s="30" t="s">
        <v>385</v>
      </c>
      <c r="F265" s="30" t="s">
        <v>231</v>
      </c>
      <c r="G265" s="41">
        <v>150</v>
      </c>
      <c r="H265" s="41">
        <v>150</v>
      </c>
    </row>
    <row r="266" spans="1:8" s="49" customFormat="1" x14ac:dyDescent="0.2">
      <c r="A266" s="80" t="s">
        <v>760</v>
      </c>
      <c r="B266" s="24" t="s">
        <v>702</v>
      </c>
      <c r="C266" s="24" t="s">
        <v>214</v>
      </c>
      <c r="D266" s="24" t="s">
        <v>731</v>
      </c>
      <c r="E266" s="24"/>
      <c r="F266" s="24"/>
      <c r="G266" s="117">
        <f t="shared" ref="G266:H270" si="14">G267</f>
        <v>96.2</v>
      </c>
      <c r="H266" s="117">
        <f t="shared" si="14"/>
        <v>101.65</v>
      </c>
    </row>
    <row r="267" spans="1:8" s="49" customFormat="1" x14ac:dyDescent="0.2">
      <c r="A267" s="81" t="s">
        <v>212</v>
      </c>
      <c r="B267" s="25" t="s">
        <v>702</v>
      </c>
      <c r="C267" s="25" t="s">
        <v>214</v>
      </c>
      <c r="D267" s="25" t="s">
        <v>731</v>
      </c>
      <c r="E267" s="25" t="s">
        <v>382</v>
      </c>
      <c r="F267" s="30"/>
      <c r="G267" s="122">
        <f t="shared" si="14"/>
        <v>96.2</v>
      </c>
      <c r="H267" s="122">
        <f t="shared" si="14"/>
        <v>101.65</v>
      </c>
    </row>
    <row r="268" spans="1:8" s="49" customFormat="1" x14ac:dyDescent="0.2">
      <c r="A268" s="82" t="s">
        <v>476</v>
      </c>
      <c r="B268" s="24" t="s">
        <v>702</v>
      </c>
      <c r="C268" s="24" t="s">
        <v>214</v>
      </c>
      <c r="D268" s="24" t="s">
        <v>731</v>
      </c>
      <c r="E268" s="24" t="s">
        <v>383</v>
      </c>
      <c r="F268" s="30"/>
      <c r="G268" s="117">
        <f t="shared" si="14"/>
        <v>96.2</v>
      </c>
      <c r="H268" s="117">
        <f t="shared" si="14"/>
        <v>101.65</v>
      </c>
    </row>
    <row r="269" spans="1:8" s="49" customFormat="1" ht="36" x14ac:dyDescent="0.2">
      <c r="A269" s="80" t="s">
        <v>764</v>
      </c>
      <c r="B269" s="24" t="s">
        <v>702</v>
      </c>
      <c r="C269" s="24" t="s">
        <v>214</v>
      </c>
      <c r="D269" s="24" t="s">
        <v>731</v>
      </c>
      <c r="E269" s="24" t="s">
        <v>559</v>
      </c>
      <c r="F269" s="24"/>
      <c r="G269" s="117">
        <f t="shared" si="14"/>
        <v>96.2</v>
      </c>
      <c r="H269" s="117">
        <f t="shared" si="14"/>
        <v>101.65</v>
      </c>
    </row>
    <row r="270" spans="1:8" s="49" customFormat="1" x14ac:dyDescent="0.2">
      <c r="A270" s="84" t="s">
        <v>473</v>
      </c>
      <c r="B270" s="30" t="s">
        <v>702</v>
      </c>
      <c r="C270" s="30" t="s">
        <v>214</v>
      </c>
      <c r="D270" s="30" t="s">
        <v>731</v>
      </c>
      <c r="E270" s="30" t="s">
        <v>559</v>
      </c>
      <c r="F270" s="30" t="s">
        <v>226</v>
      </c>
      <c r="G270" s="118">
        <f t="shared" si="14"/>
        <v>96.2</v>
      </c>
      <c r="H270" s="118">
        <f t="shared" si="14"/>
        <v>101.65</v>
      </c>
    </row>
    <row r="271" spans="1:8" s="49" customFormat="1" ht="24" x14ac:dyDescent="0.2">
      <c r="A271" s="84" t="s">
        <v>227</v>
      </c>
      <c r="B271" s="30" t="s">
        <v>702</v>
      </c>
      <c r="C271" s="30" t="s">
        <v>214</v>
      </c>
      <c r="D271" s="30" t="s">
        <v>731</v>
      </c>
      <c r="E271" s="30" t="s">
        <v>559</v>
      </c>
      <c r="F271" s="30" t="s">
        <v>228</v>
      </c>
      <c r="G271" s="118">
        <v>96.2</v>
      </c>
      <c r="H271" s="118">
        <v>101.65</v>
      </c>
    </row>
    <row r="272" spans="1:8" s="49" customFormat="1" x14ac:dyDescent="0.2">
      <c r="A272" s="61" t="s">
        <v>509</v>
      </c>
      <c r="B272" s="24" t="s">
        <v>702</v>
      </c>
      <c r="C272" s="24" t="s">
        <v>214</v>
      </c>
      <c r="D272" s="24" t="s">
        <v>235</v>
      </c>
      <c r="E272" s="24"/>
      <c r="F272" s="24"/>
      <c r="G272" s="42">
        <f t="shared" ref="G272:H276" si="15">G273</f>
        <v>400</v>
      </c>
      <c r="H272" s="42">
        <f t="shared" si="15"/>
        <v>400</v>
      </c>
    </row>
    <row r="273" spans="1:8" s="49" customFormat="1" x14ac:dyDescent="0.2">
      <c r="A273" s="62" t="s">
        <v>212</v>
      </c>
      <c r="B273" s="25" t="s">
        <v>702</v>
      </c>
      <c r="C273" s="25" t="s">
        <v>214</v>
      </c>
      <c r="D273" s="25" t="s">
        <v>235</v>
      </c>
      <c r="E273" s="25" t="s">
        <v>382</v>
      </c>
      <c r="F273" s="25"/>
      <c r="G273" s="45">
        <f t="shared" si="15"/>
        <v>400</v>
      </c>
      <c r="H273" s="45">
        <f t="shared" si="15"/>
        <v>400</v>
      </c>
    </row>
    <row r="274" spans="1:8" s="49" customFormat="1" x14ac:dyDescent="0.2">
      <c r="A274" s="61" t="s">
        <v>476</v>
      </c>
      <c r="B274" s="24" t="s">
        <v>702</v>
      </c>
      <c r="C274" s="24" t="s">
        <v>214</v>
      </c>
      <c r="D274" s="24" t="s">
        <v>235</v>
      </c>
      <c r="E274" s="24" t="s">
        <v>383</v>
      </c>
      <c r="F274" s="24"/>
      <c r="G274" s="42">
        <f t="shared" si="15"/>
        <v>400</v>
      </c>
      <c r="H274" s="42">
        <f t="shared" si="15"/>
        <v>400</v>
      </c>
    </row>
    <row r="275" spans="1:8" s="49" customFormat="1" x14ac:dyDescent="0.2">
      <c r="A275" s="62" t="s">
        <v>578</v>
      </c>
      <c r="B275" s="25" t="s">
        <v>702</v>
      </c>
      <c r="C275" s="25" t="s">
        <v>214</v>
      </c>
      <c r="D275" s="25" t="s">
        <v>235</v>
      </c>
      <c r="E275" s="25" t="s">
        <v>579</v>
      </c>
      <c r="F275" s="25"/>
      <c r="G275" s="45">
        <f t="shared" si="15"/>
        <v>400</v>
      </c>
      <c r="H275" s="45">
        <f t="shared" si="15"/>
        <v>400</v>
      </c>
    </row>
    <row r="276" spans="1:8" s="49" customFormat="1" ht="36" x14ac:dyDescent="0.2">
      <c r="A276" s="84" t="s">
        <v>217</v>
      </c>
      <c r="B276" s="30" t="s">
        <v>702</v>
      </c>
      <c r="C276" s="30" t="s">
        <v>214</v>
      </c>
      <c r="D276" s="30" t="s">
        <v>235</v>
      </c>
      <c r="E276" s="30" t="s">
        <v>579</v>
      </c>
      <c r="F276" s="30" t="s">
        <v>218</v>
      </c>
      <c r="G276" s="41">
        <f t="shared" si="15"/>
        <v>400</v>
      </c>
      <c r="H276" s="41">
        <f t="shared" si="15"/>
        <v>400</v>
      </c>
    </row>
    <row r="277" spans="1:8" s="49" customFormat="1" x14ac:dyDescent="0.2">
      <c r="A277" s="84" t="s">
        <v>219</v>
      </c>
      <c r="B277" s="30" t="s">
        <v>702</v>
      </c>
      <c r="C277" s="30" t="s">
        <v>214</v>
      </c>
      <c r="D277" s="30" t="s">
        <v>235</v>
      </c>
      <c r="E277" s="30" t="s">
        <v>579</v>
      </c>
      <c r="F277" s="30" t="s">
        <v>224</v>
      </c>
      <c r="G277" s="41">
        <v>400</v>
      </c>
      <c r="H277" s="41">
        <v>400</v>
      </c>
    </row>
    <row r="278" spans="1:8" s="49" customFormat="1" x14ac:dyDescent="0.2">
      <c r="A278" s="80" t="s">
        <v>667</v>
      </c>
      <c r="B278" s="24" t="s">
        <v>702</v>
      </c>
      <c r="C278" s="24" t="s">
        <v>731</v>
      </c>
      <c r="D278" s="24" t="s">
        <v>215</v>
      </c>
      <c r="E278" s="24"/>
      <c r="F278" s="24"/>
      <c r="G278" s="42">
        <f t="shared" ref="G278:H282" si="16">G279</f>
        <v>500</v>
      </c>
      <c r="H278" s="42">
        <f t="shared" si="16"/>
        <v>500</v>
      </c>
    </row>
    <row r="279" spans="1:8" s="49" customFormat="1" x14ac:dyDescent="0.2">
      <c r="A279" s="80" t="s">
        <v>671</v>
      </c>
      <c r="B279" s="24" t="s">
        <v>702</v>
      </c>
      <c r="C279" s="24" t="s">
        <v>731</v>
      </c>
      <c r="D279" s="24" t="s">
        <v>817</v>
      </c>
      <c r="E279" s="24"/>
      <c r="F279" s="24"/>
      <c r="G279" s="42">
        <f t="shared" si="16"/>
        <v>500</v>
      </c>
      <c r="H279" s="42">
        <f t="shared" si="16"/>
        <v>500</v>
      </c>
    </row>
    <row r="280" spans="1:8" s="49" customFormat="1" ht="27" x14ac:dyDescent="0.2">
      <c r="A280" s="86" t="s">
        <v>439</v>
      </c>
      <c r="B280" s="53" t="s">
        <v>702</v>
      </c>
      <c r="C280" s="53" t="s">
        <v>731</v>
      </c>
      <c r="D280" s="53" t="s">
        <v>817</v>
      </c>
      <c r="E280" s="93" t="s">
        <v>425</v>
      </c>
      <c r="F280" s="53"/>
      <c r="G280" s="57">
        <f t="shared" si="16"/>
        <v>500</v>
      </c>
      <c r="H280" s="57">
        <f t="shared" si="16"/>
        <v>500</v>
      </c>
    </row>
    <row r="281" spans="1:8" s="49" customFormat="1" ht="24" x14ac:dyDescent="0.2">
      <c r="A281" s="80" t="s">
        <v>418</v>
      </c>
      <c r="B281" s="24" t="s">
        <v>702</v>
      </c>
      <c r="C281" s="24" t="s">
        <v>731</v>
      </c>
      <c r="D281" s="24" t="s">
        <v>817</v>
      </c>
      <c r="E281" s="24" t="s">
        <v>41</v>
      </c>
      <c r="F281" s="24"/>
      <c r="G281" s="117">
        <f t="shared" si="16"/>
        <v>500</v>
      </c>
      <c r="H281" s="117">
        <f t="shared" si="16"/>
        <v>500</v>
      </c>
    </row>
    <row r="282" spans="1:8" s="49" customFormat="1" x14ac:dyDescent="0.2">
      <c r="A282" s="84" t="s">
        <v>473</v>
      </c>
      <c r="B282" s="30" t="s">
        <v>702</v>
      </c>
      <c r="C282" s="30" t="s">
        <v>731</v>
      </c>
      <c r="D282" s="30" t="s">
        <v>817</v>
      </c>
      <c r="E282" s="30" t="s">
        <v>41</v>
      </c>
      <c r="F282" s="30" t="s">
        <v>226</v>
      </c>
      <c r="G282" s="118">
        <f t="shared" si="16"/>
        <v>500</v>
      </c>
      <c r="H282" s="118">
        <f t="shared" si="16"/>
        <v>500</v>
      </c>
    </row>
    <row r="283" spans="1:8" s="49" customFormat="1" ht="24" x14ac:dyDescent="0.2">
      <c r="A283" s="84" t="s">
        <v>227</v>
      </c>
      <c r="B283" s="30" t="s">
        <v>702</v>
      </c>
      <c r="C283" s="30" t="s">
        <v>731</v>
      </c>
      <c r="D283" s="30" t="s">
        <v>817</v>
      </c>
      <c r="E283" s="30" t="s">
        <v>41</v>
      </c>
      <c r="F283" s="30" t="s">
        <v>228</v>
      </c>
      <c r="G283" s="118">
        <v>500</v>
      </c>
      <c r="H283" s="118">
        <v>500</v>
      </c>
    </row>
    <row r="284" spans="1:8" s="49" customFormat="1" x14ac:dyDescent="0.2">
      <c r="A284" s="80" t="s">
        <v>673</v>
      </c>
      <c r="B284" s="24" t="s">
        <v>702</v>
      </c>
      <c r="C284" s="24" t="s">
        <v>824</v>
      </c>
      <c r="D284" s="24" t="s">
        <v>215</v>
      </c>
      <c r="E284" s="30"/>
      <c r="F284" s="30"/>
      <c r="G284" s="42">
        <f t="shared" ref="G284:H289" si="17">G285</f>
        <v>375</v>
      </c>
      <c r="H284" s="42">
        <f t="shared" si="17"/>
        <v>375</v>
      </c>
    </row>
    <row r="285" spans="1:8" s="49" customFormat="1" x14ac:dyDescent="0.2">
      <c r="A285" s="80" t="s">
        <v>676</v>
      </c>
      <c r="B285" s="24" t="s">
        <v>702</v>
      </c>
      <c r="C285" s="24" t="s">
        <v>824</v>
      </c>
      <c r="D285" s="24" t="s">
        <v>824</v>
      </c>
      <c r="E285" s="24"/>
      <c r="F285" s="24"/>
      <c r="G285" s="42">
        <f t="shared" si="17"/>
        <v>375</v>
      </c>
      <c r="H285" s="42">
        <f t="shared" si="17"/>
        <v>375</v>
      </c>
    </row>
    <row r="286" spans="1:8" s="49" customFormat="1" x14ac:dyDescent="0.2">
      <c r="A286" s="81" t="s">
        <v>212</v>
      </c>
      <c r="B286" s="25" t="s">
        <v>702</v>
      </c>
      <c r="C286" s="25" t="s">
        <v>824</v>
      </c>
      <c r="D286" s="25" t="s">
        <v>824</v>
      </c>
      <c r="E286" s="25" t="s">
        <v>382</v>
      </c>
      <c r="F286" s="25"/>
      <c r="G286" s="45">
        <f t="shared" si="17"/>
        <v>375</v>
      </c>
      <c r="H286" s="45">
        <f t="shared" si="17"/>
        <v>375</v>
      </c>
    </row>
    <row r="287" spans="1:8" s="49" customFormat="1" x14ac:dyDescent="0.2">
      <c r="A287" s="82" t="s">
        <v>476</v>
      </c>
      <c r="B287" s="24" t="s">
        <v>702</v>
      </c>
      <c r="C287" s="24" t="s">
        <v>824</v>
      </c>
      <c r="D287" s="24" t="s">
        <v>824</v>
      </c>
      <c r="E287" s="24" t="s">
        <v>383</v>
      </c>
      <c r="F287" s="24"/>
      <c r="G287" s="42">
        <f t="shared" si="17"/>
        <v>375</v>
      </c>
      <c r="H287" s="42">
        <f t="shared" si="17"/>
        <v>375</v>
      </c>
    </row>
    <row r="288" spans="1:8" s="49" customFormat="1" x14ac:dyDescent="0.2">
      <c r="A288" s="81" t="s">
        <v>514</v>
      </c>
      <c r="B288" s="25" t="s">
        <v>702</v>
      </c>
      <c r="C288" s="25" t="s">
        <v>824</v>
      </c>
      <c r="D288" s="25" t="s">
        <v>824</v>
      </c>
      <c r="E288" s="25" t="s">
        <v>42</v>
      </c>
      <c r="F288" s="25"/>
      <c r="G288" s="45">
        <f t="shared" si="17"/>
        <v>375</v>
      </c>
      <c r="H288" s="45">
        <f t="shared" si="17"/>
        <v>375</v>
      </c>
    </row>
    <row r="289" spans="1:8" s="49" customFormat="1" x14ac:dyDescent="0.2">
      <c r="A289" s="84" t="s">
        <v>473</v>
      </c>
      <c r="B289" s="30" t="s">
        <v>702</v>
      </c>
      <c r="C289" s="30" t="s">
        <v>824</v>
      </c>
      <c r="D289" s="30" t="s">
        <v>824</v>
      </c>
      <c r="E289" s="30" t="s">
        <v>42</v>
      </c>
      <c r="F289" s="30" t="s">
        <v>226</v>
      </c>
      <c r="G289" s="41">
        <f t="shared" si="17"/>
        <v>375</v>
      </c>
      <c r="H289" s="41">
        <f t="shared" si="17"/>
        <v>375</v>
      </c>
    </row>
    <row r="290" spans="1:8" s="49" customFormat="1" ht="24" x14ac:dyDescent="0.2">
      <c r="A290" s="84" t="s">
        <v>227</v>
      </c>
      <c r="B290" s="30" t="s">
        <v>702</v>
      </c>
      <c r="C290" s="30" t="s">
        <v>824</v>
      </c>
      <c r="D290" s="30" t="s">
        <v>824</v>
      </c>
      <c r="E290" s="30" t="s">
        <v>42</v>
      </c>
      <c r="F290" s="30" t="s">
        <v>228</v>
      </c>
      <c r="G290" s="41">
        <v>375</v>
      </c>
      <c r="H290" s="41">
        <v>375</v>
      </c>
    </row>
    <row r="291" spans="1:8" s="49" customFormat="1" ht="47.25" x14ac:dyDescent="0.2">
      <c r="A291" s="79" t="s">
        <v>354</v>
      </c>
      <c r="B291" s="46" t="s">
        <v>353</v>
      </c>
      <c r="C291" s="47"/>
      <c r="D291" s="47"/>
      <c r="E291" s="46"/>
      <c r="F291" s="46"/>
      <c r="G291" s="102">
        <f>G292+G306</f>
        <v>40163.599999999999</v>
      </c>
      <c r="H291" s="102">
        <f>H292+H306</f>
        <v>40163.599999999999</v>
      </c>
    </row>
    <row r="292" spans="1:8" s="49" customFormat="1" x14ac:dyDescent="0.2">
      <c r="A292" s="61" t="s">
        <v>673</v>
      </c>
      <c r="B292" s="24" t="s">
        <v>353</v>
      </c>
      <c r="C292" s="24" t="s">
        <v>824</v>
      </c>
      <c r="D292" s="24" t="s">
        <v>215</v>
      </c>
      <c r="E292" s="30"/>
      <c r="F292" s="30"/>
      <c r="G292" s="35">
        <f>G293+G300</f>
        <v>32443.599999999999</v>
      </c>
      <c r="H292" s="35">
        <f>H293+H300</f>
        <v>32443.599999999999</v>
      </c>
    </row>
    <row r="293" spans="1:8" s="49" customFormat="1" x14ac:dyDescent="0.2">
      <c r="A293" s="80" t="s">
        <v>449</v>
      </c>
      <c r="B293" s="24" t="s">
        <v>353</v>
      </c>
      <c r="C293" s="24" t="s">
        <v>824</v>
      </c>
      <c r="D293" s="24" t="s">
        <v>817</v>
      </c>
      <c r="E293" s="24"/>
      <c r="F293" s="24"/>
      <c r="G293" s="42">
        <f t="shared" ref="G293:H298" si="18">G294</f>
        <v>29443.599999999999</v>
      </c>
      <c r="H293" s="42">
        <f t="shared" si="18"/>
        <v>29443.599999999999</v>
      </c>
    </row>
    <row r="294" spans="1:8" s="49" customFormat="1" ht="27" x14ac:dyDescent="0.2">
      <c r="A294" s="86" t="s">
        <v>85</v>
      </c>
      <c r="B294" s="53" t="s">
        <v>353</v>
      </c>
      <c r="C294" s="53" t="s">
        <v>824</v>
      </c>
      <c r="D294" s="53" t="s">
        <v>817</v>
      </c>
      <c r="E294" s="53" t="s">
        <v>175</v>
      </c>
      <c r="F294" s="53"/>
      <c r="G294" s="57">
        <f t="shared" si="18"/>
        <v>29443.599999999999</v>
      </c>
      <c r="H294" s="57">
        <f t="shared" si="18"/>
        <v>29443.599999999999</v>
      </c>
    </row>
    <row r="295" spans="1:8" s="49" customFormat="1" ht="25.5" x14ac:dyDescent="0.2">
      <c r="A295" s="68" t="s">
        <v>174</v>
      </c>
      <c r="B295" s="24" t="s">
        <v>353</v>
      </c>
      <c r="C295" s="24" t="s">
        <v>824</v>
      </c>
      <c r="D295" s="24" t="s">
        <v>817</v>
      </c>
      <c r="E295" s="24" t="s">
        <v>176</v>
      </c>
      <c r="F295" s="24"/>
      <c r="G295" s="42">
        <f t="shared" si="18"/>
        <v>29443.599999999999</v>
      </c>
      <c r="H295" s="42">
        <f t="shared" si="18"/>
        <v>29443.599999999999</v>
      </c>
    </row>
    <row r="296" spans="1:8" s="49" customFormat="1" ht="25.5" x14ac:dyDescent="0.2">
      <c r="A296" s="68" t="s">
        <v>177</v>
      </c>
      <c r="B296" s="24" t="s">
        <v>353</v>
      </c>
      <c r="C296" s="24" t="s">
        <v>824</v>
      </c>
      <c r="D296" s="24" t="s">
        <v>817</v>
      </c>
      <c r="E296" s="24" t="s">
        <v>87</v>
      </c>
      <c r="F296" s="24"/>
      <c r="G296" s="42">
        <f t="shared" si="18"/>
        <v>29443.599999999999</v>
      </c>
      <c r="H296" s="42">
        <f t="shared" si="18"/>
        <v>29443.599999999999</v>
      </c>
    </row>
    <row r="297" spans="1:8" s="49" customFormat="1" ht="24" x14ac:dyDescent="0.2">
      <c r="A297" s="105" t="s">
        <v>494</v>
      </c>
      <c r="B297" s="33" t="s">
        <v>353</v>
      </c>
      <c r="C297" s="33" t="s">
        <v>824</v>
      </c>
      <c r="D297" s="33" t="s">
        <v>817</v>
      </c>
      <c r="E297" s="33" t="s">
        <v>87</v>
      </c>
      <c r="F297" s="33"/>
      <c r="G297" s="101">
        <f t="shared" si="18"/>
        <v>29443.599999999999</v>
      </c>
      <c r="H297" s="101">
        <f t="shared" si="18"/>
        <v>29443.599999999999</v>
      </c>
    </row>
    <row r="298" spans="1:8" s="49" customFormat="1" ht="24" x14ac:dyDescent="0.2">
      <c r="A298" s="84" t="s">
        <v>246</v>
      </c>
      <c r="B298" s="30" t="s">
        <v>353</v>
      </c>
      <c r="C298" s="30" t="s">
        <v>824</v>
      </c>
      <c r="D298" s="30" t="s">
        <v>817</v>
      </c>
      <c r="E298" s="30" t="s">
        <v>87</v>
      </c>
      <c r="F298" s="30" t="s">
        <v>702</v>
      </c>
      <c r="G298" s="41">
        <f t="shared" si="18"/>
        <v>29443.599999999999</v>
      </c>
      <c r="H298" s="41">
        <f t="shared" si="18"/>
        <v>29443.599999999999</v>
      </c>
    </row>
    <row r="299" spans="1:8" s="49" customFormat="1" x14ac:dyDescent="0.2">
      <c r="A299" s="84" t="s">
        <v>108</v>
      </c>
      <c r="B299" s="30" t="s">
        <v>353</v>
      </c>
      <c r="C299" s="30" t="s">
        <v>824</v>
      </c>
      <c r="D299" s="30" t="s">
        <v>817</v>
      </c>
      <c r="E299" s="30" t="s">
        <v>87</v>
      </c>
      <c r="F299" s="30" t="s">
        <v>109</v>
      </c>
      <c r="G299" s="41">
        <v>29443.599999999999</v>
      </c>
      <c r="H299" s="41">
        <v>29443.599999999999</v>
      </c>
    </row>
    <row r="300" spans="1:8" s="49" customFormat="1" x14ac:dyDescent="0.2">
      <c r="A300" s="80" t="s">
        <v>676</v>
      </c>
      <c r="B300" s="24" t="s">
        <v>353</v>
      </c>
      <c r="C300" s="24" t="s">
        <v>824</v>
      </c>
      <c r="D300" s="24" t="s">
        <v>824</v>
      </c>
      <c r="E300" s="30"/>
      <c r="F300" s="30"/>
      <c r="G300" s="42">
        <f t="shared" ref="G300:H304" si="19">G301</f>
        <v>3000</v>
      </c>
      <c r="H300" s="42">
        <f t="shared" si="19"/>
        <v>3000</v>
      </c>
    </row>
    <row r="301" spans="1:8" s="49" customFormat="1" ht="27" x14ac:dyDescent="0.2">
      <c r="A301" s="86" t="s">
        <v>85</v>
      </c>
      <c r="B301" s="53" t="s">
        <v>353</v>
      </c>
      <c r="C301" s="53" t="s">
        <v>824</v>
      </c>
      <c r="D301" s="53" t="s">
        <v>824</v>
      </c>
      <c r="E301" s="53" t="s">
        <v>175</v>
      </c>
      <c r="F301" s="30"/>
      <c r="G301" s="42">
        <f t="shared" si="19"/>
        <v>3000</v>
      </c>
      <c r="H301" s="42">
        <f t="shared" si="19"/>
        <v>3000</v>
      </c>
    </row>
    <row r="302" spans="1:8" s="49" customFormat="1" x14ac:dyDescent="0.2">
      <c r="A302" s="75" t="s">
        <v>178</v>
      </c>
      <c r="B302" s="24" t="s">
        <v>353</v>
      </c>
      <c r="C302" s="24" t="s">
        <v>824</v>
      </c>
      <c r="D302" s="24" t="s">
        <v>824</v>
      </c>
      <c r="E302" s="24" t="s">
        <v>179</v>
      </c>
      <c r="F302" s="24"/>
      <c r="G302" s="42">
        <f t="shared" si="19"/>
        <v>3000</v>
      </c>
      <c r="H302" s="42">
        <f t="shared" si="19"/>
        <v>3000</v>
      </c>
    </row>
    <row r="303" spans="1:8" s="49" customFormat="1" ht="24" x14ac:dyDescent="0.2">
      <c r="A303" s="83" t="s">
        <v>561</v>
      </c>
      <c r="B303" s="25" t="s">
        <v>353</v>
      </c>
      <c r="C303" s="25" t="s">
        <v>824</v>
      </c>
      <c r="D303" s="25" t="s">
        <v>824</v>
      </c>
      <c r="E303" s="25" t="s">
        <v>86</v>
      </c>
      <c r="F303" s="25"/>
      <c r="G303" s="45">
        <f t="shared" si="19"/>
        <v>3000</v>
      </c>
      <c r="H303" s="45">
        <f t="shared" si="19"/>
        <v>3000</v>
      </c>
    </row>
    <row r="304" spans="1:8" s="49" customFormat="1" x14ac:dyDescent="0.2">
      <c r="A304" s="84" t="s">
        <v>473</v>
      </c>
      <c r="B304" s="30" t="s">
        <v>353</v>
      </c>
      <c r="C304" s="30" t="s">
        <v>824</v>
      </c>
      <c r="D304" s="30" t="s">
        <v>824</v>
      </c>
      <c r="E304" s="30" t="s">
        <v>86</v>
      </c>
      <c r="F304" s="30" t="s">
        <v>226</v>
      </c>
      <c r="G304" s="41">
        <f t="shared" si="19"/>
        <v>3000</v>
      </c>
      <c r="H304" s="41">
        <f t="shared" si="19"/>
        <v>3000</v>
      </c>
    </row>
    <row r="305" spans="1:8" s="49" customFormat="1" ht="24" x14ac:dyDescent="0.2">
      <c r="A305" s="84" t="s">
        <v>227</v>
      </c>
      <c r="B305" s="30" t="s">
        <v>353</v>
      </c>
      <c r="C305" s="30" t="s">
        <v>824</v>
      </c>
      <c r="D305" s="30" t="s">
        <v>824</v>
      </c>
      <c r="E305" s="30" t="s">
        <v>86</v>
      </c>
      <c r="F305" s="30" t="s">
        <v>228</v>
      </c>
      <c r="G305" s="41">
        <v>3000</v>
      </c>
      <c r="H305" s="41">
        <v>3000</v>
      </c>
    </row>
    <row r="306" spans="1:8" s="49" customFormat="1" ht="15.75" x14ac:dyDescent="0.2">
      <c r="A306" s="80" t="s">
        <v>691</v>
      </c>
      <c r="B306" s="24" t="s">
        <v>353</v>
      </c>
      <c r="C306" s="24" t="s">
        <v>232</v>
      </c>
      <c r="D306" s="24" t="s">
        <v>215</v>
      </c>
      <c r="E306" s="46"/>
      <c r="F306" s="46"/>
      <c r="G306" s="42">
        <f>G307+G313</f>
        <v>7720</v>
      </c>
      <c r="H306" s="42">
        <f>H307+H313</f>
        <v>7720</v>
      </c>
    </row>
    <row r="307" spans="1:8" s="49" customFormat="1" ht="15.75" x14ac:dyDescent="0.2">
      <c r="A307" s="80" t="s">
        <v>201</v>
      </c>
      <c r="B307" s="24" t="s">
        <v>353</v>
      </c>
      <c r="C307" s="24" t="s">
        <v>232</v>
      </c>
      <c r="D307" s="24" t="s">
        <v>214</v>
      </c>
      <c r="E307" s="46"/>
      <c r="F307" s="46"/>
      <c r="G307" s="42">
        <f t="shared" ref="G307:H311" si="20">G308</f>
        <v>4000</v>
      </c>
      <c r="H307" s="42">
        <f t="shared" si="20"/>
        <v>4000</v>
      </c>
    </row>
    <row r="308" spans="1:8" s="49" customFormat="1" ht="27" x14ac:dyDescent="0.2">
      <c r="A308" s="86" t="s">
        <v>85</v>
      </c>
      <c r="B308" s="53" t="s">
        <v>353</v>
      </c>
      <c r="C308" s="53" t="s">
        <v>232</v>
      </c>
      <c r="D308" s="53" t="s">
        <v>214</v>
      </c>
      <c r="E308" s="53" t="s">
        <v>175</v>
      </c>
      <c r="F308" s="53"/>
      <c r="G308" s="57">
        <f t="shared" si="20"/>
        <v>4000</v>
      </c>
      <c r="H308" s="57">
        <f t="shared" si="20"/>
        <v>4000</v>
      </c>
    </row>
    <row r="309" spans="1:8" s="49" customFormat="1" ht="24" x14ac:dyDescent="0.2">
      <c r="A309" s="80" t="s">
        <v>202</v>
      </c>
      <c r="B309" s="24" t="s">
        <v>353</v>
      </c>
      <c r="C309" s="24" t="s">
        <v>232</v>
      </c>
      <c r="D309" s="24" t="s">
        <v>214</v>
      </c>
      <c r="E309" s="24" t="s">
        <v>204</v>
      </c>
      <c r="F309" s="46"/>
      <c r="G309" s="42">
        <f t="shared" si="20"/>
        <v>4000</v>
      </c>
      <c r="H309" s="42">
        <f t="shared" si="20"/>
        <v>4000</v>
      </c>
    </row>
    <row r="310" spans="1:8" s="49" customFormat="1" ht="24" x14ac:dyDescent="0.2">
      <c r="A310" s="83" t="s">
        <v>562</v>
      </c>
      <c r="B310" s="25" t="s">
        <v>353</v>
      </c>
      <c r="C310" s="25" t="s">
        <v>232</v>
      </c>
      <c r="D310" s="25" t="s">
        <v>214</v>
      </c>
      <c r="E310" s="25" t="s">
        <v>89</v>
      </c>
      <c r="F310" s="25"/>
      <c r="G310" s="45">
        <f t="shared" si="20"/>
        <v>4000</v>
      </c>
      <c r="H310" s="45">
        <f t="shared" si="20"/>
        <v>4000</v>
      </c>
    </row>
    <row r="311" spans="1:8" s="49" customFormat="1" x14ac:dyDescent="0.2">
      <c r="A311" s="84" t="s">
        <v>473</v>
      </c>
      <c r="B311" s="30" t="s">
        <v>353</v>
      </c>
      <c r="C311" s="30" t="s">
        <v>232</v>
      </c>
      <c r="D311" s="30" t="s">
        <v>214</v>
      </c>
      <c r="E311" s="30" t="s">
        <v>89</v>
      </c>
      <c r="F311" s="30" t="s">
        <v>226</v>
      </c>
      <c r="G311" s="41">
        <f t="shared" si="20"/>
        <v>4000</v>
      </c>
      <c r="H311" s="41">
        <f t="shared" si="20"/>
        <v>4000</v>
      </c>
    </row>
    <row r="312" spans="1:8" s="49" customFormat="1" ht="24" x14ac:dyDescent="0.2">
      <c r="A312" s="84" t="s">
        <v>227</v>
      </c>
      <c r="B312" s="30" t="s">
        <v>353</v>
      </c>
      <c r="C312" s="30" t="s">
        <v>232</v>
      </c>
      <c r="D312" s="30" t="s">
        <v>214</v>
      </c>
      <c r="E312" s="30" t="s">
        <v>89</v>
      </c>
      <c r="F312" s="30" t="s">
        <v>228</v>
      </c>
      <c r="G312" s="41">
        <v>4000</v>
      </c>
      <c r="H312" s="41">
        <v>4000</v>
      </c>
    </row>
    <row r="313" spans="1:8" s="49" customFormat="1" x14ac:dyDescent="0.2">
      <c r="A313" s="80" t="s">
        <v>355</v>
      </c>
      <c r="B313" s="24" t="s">
        <v>353</v>
      </c>
      <c r="C313" s="24" t="s">
        <v>232</v>
      </c>
      <c r="D313" s="24" t="s">
        <v>731</v>
      </c>
      <c r="E313" s="24"/>
      <c r="F313" s="24"/>
      <c r="G313" s="42">
        <f>G314</f>
        <v>3720</v>
      </c>
      <c r="H313" s="42">
        <f>H314</f>
        <v>3720</v>
      </c>
    </row>
    <row r="314" spans="1:8" s="49" customFormat="1" ht="27" x14ac:dyDescent="0.2">
      <c r="A314" s="86" t="s">
        <v>85</v>
      </c>
      <c r="B314" s="53" t="s">
        <v>353</v>
      </c>
      <c r="C314" s="53" t="s">
        <v>232</v>
      </c>
      <c r="D314" s="53" t="s">
        <v>731</v>
      </c>
      <c r="E314" s="53" t="s">
        <v>175</v>
      </c>
      <c r="F314" s="24"/>
      <c r="G314" s="57">
        <f>G315</f>
        <v>3720</v>
      </c>
      <c r="H314" s="57">
        <f>H315</f>
        <v>3720</v>
      </c>
    </row>
    <row r="315" spans="1:8" s="49" customFormat="1" ht="24" x14ac:dyDescent="0.2">
      <c r="A315" s="80" t="s">
        <v>205</v>
      </c>
      <c r="B315" s="24" t="s">
        <v>353</v>
      </c>
      <c r="C315" s="24" t="s">
        <v>232</v>
      </c>
      <c r="D315" s="24" t="s">
        <v>731</v>
      </c>
      <c r="E315" s="24" t="s">
        <v>206</v>
      </c>
      <c r="F315" s="24"/>
      <c r="G315" s="42">
        <f>G316+G320</f>
        <v>3720</v>
      </c>
      <c r="H315" s="42">
        <f>H316+H320</f>
        <v>3720</v>
      </c>
    </row>
    <row r="316" spans="1:8" s="49" customFormat="1" ht="36" x14ac:dyDescent="0.2">
      <c r="A316" s="80" t="s">
        <v>501</v>
      </c>
      <c r="B316" s="24" t="s">
        <v>353</v>
      </c>
      <c r="C316" s="24" t="s">
        <v>232</v>
      </c>
      <c r="D316" s="24" t="s">
        <v>731</v>
      </c>
      <c r="E316" s="24" t="s">
        <v>207</v>
      </c>
      <c r="F316" s="24"/>
      <c r="G316" s="42">
        <f t="shared" ref="G316:H318" si="21">G317</f>
        <v>3635</v>
      </c>
      <c r="H316" s="42">
        <f t="shared" si="21"/>
        <v>3635</v>
      </c>
    </row>
    <row r="317" spans="1:8" s="49" customFormat="1" ht="24" x14ac:dyDescent="0.2">
      <c r="A317" s="81" t="s">
        <v>475</v>
      </c>
      <c r="B317" s="25" t="s">
        <v>353</v>
      </c>
      <c r="C317" s="25" t="s">
        <v>232</v>
      </c>
      <c r="D317" s="25" t="s">
        <v>731</v>
      </c>
      <c r="E317" s="25" t="s">
        <v>207</v>
      </c>
      <c r="F317" s="25"/>
      <c r="G317" s="45">
        <f t="shared" si="21"/>
        <v>3635</v>
      </c>
      <c r="H317" s="45">
        <f t="shared" si="21"/>
        <v>3635</v>
      </c>
    </row>
    <row r="318" spans="1:8" s="49" customFormat="1" ht="36" x14ac:dyDescent="0.2">
      <c r="A318" s="84" t="s">
        <v>217</v>
      </c>
      <c r="B318" s="30" t="s">
        <v>353</v>
      </c>
      <c r="C318" s="30" t="s">
        <v>232</v>
      </c>
      <c r="D318" s="30" t="s">
        <v>731</v>
      </c>
      <c r="E318" s="30" t="s">
        <v>207</v>
      </c>
      <c r="F318" s="30" t="s">
        <v>218</v>
      </c>
      <c r="G318" s="41">
        <f t="shared" si="21"/>
        <v>3635</v>
      </c>
      <c r="H318" s="41">
        <f t="shared" si="21"/>
        <v>3635</v>
      </c>
    </row>
    <row r="319" spans="1:8" s="49" customFormat="1" x14ac:dyDescent="0.2">
      <c r="A319" s="84" t="s">
        <v>219</v>
      </c>
      <c r="B319" s="30" t="s">
        <v>353</v>
      </c>
      <c r="C319" s="30" t="s">
        <v>232</v>
      </c>
      <c r="D319" s="30" t="s">
        <v>731</v>
      </c>
      <c r="E319" s="30" t="s">
        <v>207</v>
      </c>
      <c r="F319" s="30" t="s">
        <v>224</v>
      </c>
      <c r="G319" s="41">
        <f>2740+70+825</f>
        <v>3635</v>
      </c>
      <c r="H319" s="41">
        <f>2740+70+825</f>
        <v>3635</v>
      </c>
    </row>
    <row r="320" spans="1:8" s="49" customFormat="1" x14ac:dyDescent="0.2">
      <c r="A320" s="80" t="s">
        <v>225</v>
      </c>
      <c r="B320" s="24" t="s">
        <v>353</v>
      </c>
      <c r="C320" s="24" t="s">
        <v>232</v>
      </c>
      <c r="D320" s="24" t="s">
        <v>731</v>
      </c>
      <c r="E320" s="24" t="s">
        <v>208</v>
      </c>
      <c r="F320" s="24"/>
      <c r="G320" s="42">
        <f>G321+G323</f>
        <v>85</v>
      </c>
      <c r="H320" s="42">
        <f>H321+H323</f>
        <v>85</v>
      </c>
    </row>
    <row r="321" spans="1:8" s="49" customFormat="1" x14ac:dyDescent="0.2">
      <c r="A321" s="84" t="s">
        <v>473</v>
      </c>
      <c r="B321" s="30" t="s">
        <v>353</v>
      </c>
      <c r="C321" s="30" t="s">
        <v>232</v>
      </c>
      <c r="D321" s="30" t="s">
        <v>731</v>
      </c>
      <c r="E321" s="30" t="s">
        <v>208</v>
      </c>
      <c r="F321" s="30" t="s">
        <v>226</v>
      </c>
      <c r="G321" s="41">
        <f>G322</f>
        <v>75</v>
      </c>
      <c r="H321" s="41">
        <f>H322</f>
        <v>75</v>
      </c>
    </row>
    <row r="322" spans="1:8" s="49" customFormat="1" ht="24" x14ac:dyDescent="0.2">
      <c r="A322" s="84" t="s">
        <v>227</v>
      </c>
      <c r="B322" s="30" t="s">
        <v>353</v>
      </c>
      <c r="C322" s="30" t="s">
        <v>232</v>
      </c>
      <c r="D322" s="30" t="s">
        <v>731</v>
      </c>
      <c r="E322" s="30" t="s">
        <v>208</v>
      </c>
      <c r="F322" s="30" t="s">
        <v>228</v>
      </c>
      <c r="G322" s="41">
        <v>75</v>
      </c>
      <c r="H322" s="41">
        <v>75</v>
      </c>
    </row>
    <row r="323" spans="1:8" s="49" customFormat="1" x14ac:dyDescent="0.2">
      <c r="A323" s="84" t="s">
        <v>229</v>
      </c>
      <c r="B323" s="30" t="s">
        <v>353</v>
      </c>
      <c r="C323" s="30" t="s">
        <v>232</v>
      </c>
      <c r="D323" s="30" t="s">
        <v>731</v>
      </c>
      <c r="E323" s="30" t="s">
        <v>208</v>
      </c>
      <c r="F323" s="30" t="s">
        <v>230</v>
      </c>
      <c r="G323" s="41">
        <f>G324</f>
        <v>10</v>
      </c>
      <c r="H323" s="41">
        <f>H324</f>
        <v>10</v>
      </c>
    </row>
    <row r="324" spans="1:8" s="49" customFormat="1" x14ac:dyDescent="0.2">
      <c r="A324" s="84" t="s">
        <v>106</v>
      </c>
      <c r="B324" s="30" t="s">
        <v>353</v>
      </c>
      <c r="C324" s="30" t="s">
        <v>232</v>
      </c>
      <c r="D324" s="30" t="s">
        <v>731</v>
      </c>
      <c r="E324" s="30" t="s">
        <v>208</v>
      </c>
      <c r="F324" s="30" t="s">
        <v>231</v>
      </c>
      <c r="G324" s="41">
        <v>10</v>
      </c>
      <c r="H324" s="41">
        <v>10</v>
      </c>
    </row>
    <row r="325" spans="1:8" s="49" customFormat="1" ht="47.25" x14ac:dyDescent="0.2">
      <c r="A325" s="79" t="s">
        <v>327</v>
      </c>
      <c r="B325" s="46" t="s">
        <v>328</v>
      </c>
      <c r="C325" s="30"/>
      <c r="D325" s="30"/>
      <c r="E325" s="30"/>
      <c r="F325" s="30"/>
      <c r="G325" s="102">
        <f>G326</f>
        <v>264263.59999999998</v>
      </c>
      <c r="H325" s="102">
        <f>H326</f>
        <v>145155.6</v>
      </c>
    </row>
    <row r="326" spans="1:8" s="49" customFormat="1" x14ac:dyDescent="0.2">
      <c r="A326" s="80" t="s">
        <v>655</v>
      </c>
      <c r="B326" s="24" t="s">
        <v>328</v>
      </c>
      <c r="C326" s="24" t="s">
        <v>216</v>
      </c>
      <c r="D326" s="24" t="s">
        <v>215</v>
      </c>
      <c r="E326" s="30"/>
      <c r="F326" s="30"/>
      <c r="G326" s="42">
        <f>G327+G345</f>
        <v>264263.59999999998</v>
      </c>
      <c r="H326" s="42">
        <f>H327+H345</f>
        <v>145155.6</v>
      </c>
    </row>
    <row r="327" spans="1:8" s="49" customFormat="1" x14ac:dyDescent="0.2">
      <c r="A327" s="80" t="s">
        <v>666</v>
      </c>
      <c r="B327" s="24" t="s">
        <v>328</v>
      </c>
      <c r="C327" s="24" t="s">
        <v>216</v>
      </c>
      <c r="D327" s="24" t="s">
        <v>822</v>
      </c>
      <c r="E327" s="24"/>
      <c r="F327" s="24"/>
      <c r="G327" s="42">
        <f>G328</f>
        <v>65714.5</v>
      </c>
      <c r="H327" s="42">
        <f>H328</f>
        <v>65714.5</v>
      </c>
    </row>
    <row r="328" spans="1:8" s="49" customFormat="1" ht="27" x14ac:dyDescent="0.2">
      <c r="A328" s="86" t="s">
        <v>48</v>
      </c>
      <c r="B328" s="53" t="s">
        <v>328</v>
      </c>
      <c r="C328" s="53" t="s">
        <v>216</v>
      </c>
      <c r="D328" s="53" t="s">
        <v>822</v>
      </c>
      <c r="E328" s="53" t="s">
        <v>404</v>
      </c>
      <c r="F328" s="53"/>
      <c r="G328" s="57">
        <f>G329+G338</f>
        <v>65714.5</v>
      </c>
      <c r="H328" s="57">
        <f>H329+H338</f>
        <v>65714.5</v>
      </c>
    </row>
    <row r="329" spans="1:8" s="49" customFormat="1" ht="24" x14ac:dyDescent="0.2">
      <c r="A329" s="80" t="s">
        <v>241</v>
      </c>
      <c r="B329" s="24" t="s">
        <v>328</v>
      </c>
      <c r="C329" s="24" t="s">
        <v>216</v>
      </c>
      <c r="D329" s="24" t="s">
        <v>822</v>
      </c>
      <c r="E329" s="24" t="s">
        <v>405</v>
      </c>
      <c r="F329" s="24"/>
      <c r="G329" s="42">
        <f>G330+G333</f>
        <v>5014.5</v>
      </c>
      <c r="H329" s="42">
        <f>H330+H333</f>
        <v>5014.5</v>
      </c>
    </row>
    <row r="330" spans="1:8" s="49" customFormat="1" ht="24" x14ac:dyDescent="0.2">
      <c r="A330" s="82" t="s">
        <v>475</v>
      </c>
      <c r="B330" s="24" t="s">
        <v>328</v>
      </c>
      <c r="C330" s="24" t="s">
        <v>216</v>
      </c>
      <c r="D330" s="24" t="s">
        <v>822</v>
      </c>
      <c r="E330" s="24" t="s">
        <v>525</v>
      </c>
      <c r="F330" s="24"/>
      <c r="G330" s="42">
        <f>G331</f>
        <v>4824.5</v>
      </c>
      <c r="H330" s="42">
        <f>H331</f>
        <v>4824.5</v>
      </c>
    </row>
    <row r="331" spans="1:8" s="49" customFormat="1" ht="36" x14ac:dyDescent="0.2">
      <c r="A331" s="84" t="s">
        <v>217</v>
      </c>
      <c r="B331" s="30" t="s">
        <v>328</v>
      </c>
      <c r="C331" s="30" t="s">
        <v>216</v>
      </c>
      <c r="D331" s="30" t="s">
        <v>822</v>
      </c>
      <c r="E331" s="30" t="s">
        <v>525</v>
      </c>
      <c r="F331" s="30" t="s">
        <v>218</v>
      </c>
      <c r="G331" s="41">
        <f>G332</f>
        <v>4824.5</v>
      </c>
      <c r="H331" s="41">
        <f>H332</f>
        <v>4824.5</v>
      </c>
    </row>
    <row r="332" spans="1:8" s="49" customFormat="1" x14ac:dyDescent="0.2">
      <c r="A332" s="84" t="s">
        <v>219</v>
      </c>
      <c r="B332" s="30" t="s">
        <v>328</v>
      </c>
      <c r="C332" s="30" t="s">
        <v>216</v>
      </c>
      <c r="D332" s="30" t="s">
        <v>822</v>
      </c>
      <c r="E332" s="30" t="s">
        <v>525</v>
      </c>
      <c r="F332" s="30" t="s">
        <v>224</v>
      </c>
      <c r="G332" s="41">
        <f>3705.5+1119</f>
        <v>4824.5</v>
      </c>
      <c r="H332" s="41">
        <f>3705.5+1119</f>
        <v>4824.5</v>
      </c>
    </row>
    <row r="333" spans="1:8" s="49" customFormat="1" x14ac:dyDescent="0.2">
      <c r="A333" s="80" t="s">
        <v>225</v>
      </c>
      <c r="B333" s="24" t="s">
        <v>328</v>
      </c>
      <c r="C333" s="24" t="s">
        <v>216</v>
      </c>
      <c r="D333" s="24" t="s">
        <v>822</v>
      </c>
      <c r="E333" s="24" t="s">
        <v>526</v>
      </c>
      <c r="F333" s="24"/>
      <c r="G333" s="42">
        <f>G334+G336</f>
        <v>190</v>
      </c>
      <c r="H333" s="42">
        <f>H334+H336</f>
        <v>190</v>
      </c>
    </row>
    <row r="334" spans="1:8" s="49" customFormat="1" x14ac:dyDescent="0.2">
      <c r="A334" s="84" t="s">
        <v>473</v>
      </c>
      <c r="B334" s="30" t="s">
        <v>328</v>
      </c>
      <c r="C334" s="30" t="s">
        <v>216</v>
      </c>
      <c r="D334" s="30" t="s">
        <v>822</v>
      </c>
      <c r="E334" s="30" t="s">
        <v>526</v>
      </c>
      <c r="F334" s="30" t="s">
        <v>226</v>
      </c>
      <c r="G334" s="41">
        <f>G335</f>
        <v>187</v>
      </c>
      <c r="H334" s="41">
        <f>H335</f>
        <v>187</v>
      </c>
    </row>
    <row r="335" spans="1:8" s="49" customFormat="1" ht="24" x14ac:dyDescent="0.2">
      <c r="A335" s="84" t="s">
        <v>227</v>
      </c>
      <c r="B335" s="30" t="s">
        <v>328</v>
      </c>
      <c r="C335" s="30" t="s">
        <v>216</v>
      </c>
      <c r="D335" s="30" t="s">
        <v>822</v>
      </c>
      <c r="E335" s="30" t="s">
        <v>526</v>
      </c>
      <c r="F335" s="30" t="s">
        <v>228</v>
      </c>
      <c r="G335" s="41">
        <v>187</v>
      </c>
      <c r="H335" s="41">
        <v>187</v>
      </c>
    </row>
    <row r="336" spans="1:8" s="49" customFormat="1" x14ac:dyDescent="0.2">
      <c r="A336" s="84" t="s">
        <v>229</v>
      </c>
      <c r="B336" s="30" t="s">
        <v>328</v>
      </c>
      <c r="C336" s="30" t="s">
        <v>216</v>
      </c>
      <c r="D336" s="30" t="s">
        <v>822</v>
      </c>
      <c r="E336" s="30" t="s">
        <v>526</v>
      </c>
      <c r="F336" s="30" t="s">
        <v>230</v>
      </c>
      <c r="G336" s="41">
        <f>G337</f>
        <v>3</v>
      </c>
      <c r="H336" s="41">
        <f>H337</f>
        <v>3</v>
      </c>
    </row>
    <row r="337" spans="1:8" s="49" customFormat="1" x14ac:dyDescent="0.2">
      <c r="A337" s="84" t="s">
        <v>311</v>
      </c>
      <c r="B337" s="30" t="s">
        <v>328</v>
      </c>
      <c r="C337" s="30" t="s">
        <v>216</v>
      </c>
      <c r="D337" s="30" t="s">
        <v>822</v>
      </c>
      <c r="E337" s="30" t="s">
        <v>526</v>
      </c>
      <c r="F337" s="30" t="s">
        <v>231</v>
      </c>
      <c r="G337" s="41">
        <v>3</v>
      </c>
      <c r="H337" s="41">
        <v>3</v>
      </c>
    </row>
    <row r="338" spans="1:8" s="49" customFormat="1" x14ac:dyDescent="0.2">
      <c r="A338" s="75" t="s">
        <v>527</v>
      </c>
      <c r="B338" s="24" t="s">
        <v>328</v>
      </c>
      <c r="C338" s="24" t="s">
        <v>216</v>
      </c>
      <c r="D338" s="24" t="s">
        <v>822</v>
      </c>
      <c r="E338" s="43" t="s">
        <v>528</v>
      </c>
      <c r="F338" s="25"/>
      <c r="G338" s="42">
        <f>G339+G342</f>
        <v>60700</v>
      </c>
      <c r="H338" s="42">
        <f>H339+H342</f>
        <v>60700</v>
      </c>
    </row>
    <row r="339" spans="1:8" s="49" customFormat="1" ht="36" x14ac:dyDescent="0.2">
      <c r="A339" s="123" t="s">
        <v>529</v>
      </c>
      <c r="B339" s="25" t="s">
        <v>328</v>
      </c>
      <c r="C339" s="25" t="s">
        <v>216</v>
      </c>
      <c r="D339" s="25" t="s">
        <v>822</v>
      </c>
      <c r="E339" s="54" t="s">
        <v>49</v>
      </c>
      <c r="F339" s="25"/>
      <c r="G339" s="45">
        <f>G340</f>
        <v>60000</v>
      </c>
      <c r="H339" s="45">
        <f>H340</f>
        <v>60000</v>
      </c>
    </row>
    <row r="340" spans="1:8" s="49" customFormat="1" x14ac:dyDescent="0.2">
      <c r="A340" s="84" t="s">
        <v>229</v>
      </c>
      <c r="B340" s="30" t="s">
        <v>328</v>
      </c>
      <c r="C340" s="30" t="s">
        <v>216</v>
      </c>
      <c r="D340" s="30" t="s">
        <v>822</v>
      </c>
      <c r="E340" s="40" t="s">
        <v>49</v>
      </c>
      <c r="F340" s="30" t="s">
        <v>230</v>
      </c>
      <c r="G340" s="41">
        <f>G341</f>
        <v>60000</v>
      </c>
      <c r="H340" s="41">
        <f>H341</f>
        <v>60000</v>
      </c>
    </row>
    <row r="341" spans="1:8" s="49" customFormat="1" ht="24" x14ac:dyDescent="0.2">
      <c r="A341" s="84" t="s">
        <v>105</v>
      </c>
      <c r="B341" s="30" t="s">
        <v>328</v>
      </c>
      <c r="C341" s="30" t="s">
        <v>216</v>
      </c>
      <c r="D341" s="30" t="s">
        <v>822</v>
      </c>
      <c r="E341" s="40" t="s">
        <v>49</v>
      </c>
      <c r="F341" s="30" t="s">
        <v>729</v>
      </c>
      <c r="G341" s="41">
        <v>60000</v>
      </c>
      <c r="H341" s="41">
        <v>60000</v>
      </c>
    </row>
    <row r="342" spans="1:8" s="49" customFormat="1" ht="48" x14ac:dyDescent="0.2">
      <c r="A342" s="83" t="s">
        <v>150</v>
      </c>
      <c r="B342" s="25" t="s">
        <v>328</v>
      </c>
      <c r="C342" s="25" t="s">
        <v>216</v>
      </c>
      <c r="D342" s="25" t="s">
        <v>822</v>
      </c>
      <c r="E342" s="54" t="s">
        <v>530</v>
      </c>
      <c r="F342" s="25"/>
      <c r="G342" s="45">
        <f>G343</f>
        <v>700</v>
      </c>
      <c r="H342" s="45">
        <f>H343</f>
        <v>700</v>
      </c>
    </row>
    <row r="343" spans="1:8" s="49" customFormat="1" x14ac:dyDescent="0.2">
      <c r="A343" s="84" t="s">
        <v>322</v>
      </c>
      <c r="B343" s="30" t="s">
        <v>328</v>
      </c>
      <c r="C343" s="30" t="s">
        <v>216</v>
      </c>
      <c r="D343" s="30" t="s">
        <v>822</v>
      </c>
      <c r="E343" s="40" t="s">
        <v>530</v>
      </c>
      <c r="F343" s="30" t="s">
        <v>226</v>
      </c>
      <c r="G343" s="41">
        <f>G344</f>
        <v>700</v>
      </c>
      <c r="H343" s="41">
        <f>H344</f>
        <v>700</v>
      </c>
    </row>
    <row r="344" spans="1:8" s="49" customFormat="1" ht="24" x14ac:dyDescent="0.2">
      <c r="A344" s="84" t="s">
        <v>227</v>
      </c>
      <c r="B344" s="30" t="s">
        <v>328</v>
      </c>
      <c r="C344" s="30" t="s">
        <v>216</v>
      </c>
      <c r="D344" s="30" t="s">
        <v>822</v>
      </c>
      <c r="E344" s="40" t="s">
        <v>530</v>
      </c>
      <c r="F344" s="30" t="s">
        <v>228</v>
      </c>
      <c r="G344" s="41">
        <v>700</v>
      </c>
      <c r="H344" s="41">
        <v>700</v>
      </c>
    </row>
    <row r="345" spans="1:8" s="49" customFormat="1" x14ac:dyDescent="0.2">
      <c r="A345" s="80" t="s">
        <v>690</v>
      </c>
      <c r="B345" s="24" t="s">
        <v>328</v>
      </c>
      <c r="C345" s="24" t="s">
        <v>216</v>
      </c>
      <c r="D345" s="24" t="s">
        <v>818</v>
      </c>
      <c r="E345" s="40"/>
      <c r="F345" s="30"/>
      <c r="G345" s="42">
        <f>G346</f>
        <v>198549.09999999998</v>
      </c>
      <c r="H345" s="42">
        <f>H346</f>
        <v>79441.100000000006</v>
      </c>
    </row>
    <row r="346" spans="1:8" s="49" customFormat="1" ht="27" x14ac:dyDescent="0.2">
      <c r="A346" s="86" t="s">
        <v>48</v>
      </c>
      <c r="B346" s="53" t="s">
        <v>328</v>
      </c>
      <c r="C346" s="53" t="s">
        <v>216</v>
      </c>
      <c r="D346" s="53" t="s">
        <v>818</v>
      </c>
      <c r="E346" s="53" t="s">
        <v>404</v>
      </c>
      <c r="F346" s="53"/>
      <c r="G346" s="57">
        <f>G347+G360</f>
        <v>198549.09999999998</v>
      </c>
      <c r="H346" s="57">
        <f>H347+H360</f>
        <v>79441.100000000006</v>
      </c>
    </row>
    <row r="347" spans="1:8" s="48" customFormat="1" ht="36" x14ac:dyDescent="0.2">
      <c r="A347" s="75" t="s">
        <v>531</v>
      </c>
      <c r="B347" s="24" t="s">
        <v>328</v>
      </c>
      <c r="C347" s="24" t="s">
        <v>216</v>
      </c>
      <c r="D347" s="24" t="s">
        <v>818</v>
      </c>
      <c r="E347" s="43" t="s">
        <v>532</v>
      </c>
      <c r="F347" s="24"/>
      <c r="G347" s="42">
        <f>G348+G351+G354+G357</f>
        <v>181910.8</v>
      </c>
      <c r="H347" s="42">
        <f>H348+H351+H354+H357</f>
        <v>62802.8</v>
      </c>
    </row>
    <row r="348" spans="1:8" s="48" customFormat="1" ht="36" x14ac:dyDescent="0.2">
      <c r="A348" s="83" t="s">
        <v>407</v>
      </c>
      <c r="B348" s="30" t="s">
        <v>328</v>
      </c>
      <c r="C348" s="30" t="s">
        <v>216</v>
      </c>
      <c r="D348" s="30" t="s">
        <v>818</v>
      </c>
      <c r="E348" s="25" t="s">
        <v>50</v>
      </c>
      <c r="F348" s="25"/>
      <c r="G348" s="45">
        <f>G349</f>
        <v>19534</v>
      </c>
      <c r="H348" s="45">
        <f>H349</f>
        <v>20992</v>
      </c>
    </row>
    <row r="349" spans="1:8" s="48" customFormat="1" x14ac:dyDescent="0.2">
      <c r="A349" s="84" t="s">
        <v>473</v>
      </c>
      <c r="B349" s="30" t="s">
        <v>328</v>
      </c>
      <c r="C349" s="30" t="s">
        <v>216</v>
      </c>
      <c r="D349" s="30" t="s">
        <v>818</v>
      </c>
      <c r="E349" s="30" t="s">
        <v>50</v>
      </c>
      <c r="F349" s="30" t="s">
        <v>226</v>
      </c>
      <c r="G349" s="41">
        <f>G350</f>
        <v>19534</v>
      </c>
      <c r="H349" s="41">
        <f>H350</f>
        <v>20992</v>
      </c>
    </row>
    <row r="350" spans="1:8" s="48" customFormat="1" ht="24" x14ac:dyDescent="0.2">
      <c r="A350" s="84" t="s">
        <v>227</v>
      </c>
      <c r="B350" s="30" t="s">
        <v>328</v>
      </c>
      <c r="C350" s="30" t="s">
        <v>216</v>
      </c>
      <c r="D350" s="30" t="s">
        <v>818</v>
      </c>
      <c r="E350" s="30" t="s">
        <v>50</v>
      </c>
      <c r="F350" s="30" t="s">
        <v>228</v>
      </c>
      <c r="G350" s="41">
        <v>19534</v>
      </c>
      <c r="H350" s="41">
        <v>20992</v>
      </c>
    </row>
    <row r="351" spans="1:8" s="48" customFormat="1" ht="36" x14ac:dyDescent="0.2">
      <c r="A351" s="85" t="s">
        <v>170</v>
      </c>
      <c r="B351" s="25" t="s">
        <v>328</v>
      </c>
      <c r="C351" s="25" t="s">
        <v>216</v>
      </c>
      <c r="D351" s="25" t="s">
        <v>818</v>
      </c>
      <c r="E351" s="25" t="s">
        <v>165</v>
      </c>
      <c r="F351" s="25"/>
      <c r="G351" s="122">
        <f>G352</f>
        <v>151753.79999999999</v>
      </c>
      <c r="H351" s="122">
        <f>H352</f>
        <v>39075.599999999999</v>
      </c>
    </row>
    <row r="352" spans="1:8" s="48" customFormat="1" x14ac:dyDescent="0.2">
      <c r="A352" s="84" t="s">
        <v>322</v>
      </c>
      <c r="B352" s="30" t="s">
        <v>328</v>
      </c>
      <c r="C352" s="30" t="s">
        <v>216</v>
      </c>
      <c r="D352" s="30" t="s">
        <v>818</v>
      </c>
      <c r="E352" s="30" t="s">
        <v>165</v>
      </c>
      <c r="F352" s="30" t="s">
        <v>226</v>
      </c>
      <c r="G352" s="118">
        <f>G353</f>
        <v>151753.79999999999</v>
      </c>
      <c r="H352" s="118">
        <f>H353</f>
        <v>39075.599999999999</v>
      </c>
    </row>
    <row r="353" spans="1:8" s="49" customFormat="1" ht="24" x14ac:dyDescent="0.2">
      <c r="A353" s="84" t="s">
        <v>227</v>
      </c>
      <c r="B353" s="30" t="s">
        <v>328</v>
      </c>
      <c r="C353" s="30" t="s">
        <v>216</v>
      </c>
      <c r="D353" s="30" t="s">
        <v>818</v>
      </c>
      <c r="E353" s="30" t="s">
        <v>165</v>
      </c>
      <c r="F353" s="30" t="s">
        <v>228</v>
      </c>
      <c r="G353" s="118">
        <v>151753.79999999999</v>
      </c>
      <c r="H353" s="118">
        <v>39075.599999999999</v>
      </c>
    </row>
    <row r="354" spans="1:8" s="49" customFormat="1" ht="36" x14ac:dyDescent="0.2">
      <c r="A354" s="83" t="s">
        <v>408</v>
      </c>
      <c r="B354" s="25" t="s">
        <v>328</v>
      </c>
      <c r="C354" s="25" t="s">
        <v>216</v>
      </c>
      <c r="D354" s="25" t="s">
        <v>818</v>
      </c>
      <c r="E354" s="25" t="s">
        <v>166</v>
      </c>
      <c r="F354" s="25"/>
      <c r="G354" s="45">
        <f>G355</f>
        <v>10623</v>
      </c>
      <c r="H354" s="45">
        <f>H355</f>
        <v>2735.2000000000007</v>
      </c>
    </row>
    <row r="355" spans="1:8" x14ac:dyDescent="0.2">
      <c r="A355" s="84" t="s">
        <v>473</v>
      </c>
      <c r="B355" s="30" t="s">
        <v>328</v>
      </c>
      <c r="C355" s="30" t="s">
        <v>216</v>
      </c>
      <c r="D355" s="30" t="s">
        <v>818</v>
      </c>
      <c r="E355" s="30" t="s">
        <v>166</v>
      </c>
      <c r="F355" s="30" t="s">
        <v>226</v>
      </c>
      <c r="G355" s="41">
        <f>G356</f>
        <v>10623</v>
      </c>
      <c r="H355" s="41">
        <f>H356</f>
        <v>2735.2000000000007</v>
      </c>
    </row>
    <row r="356" spans="1:8" ht="24" x14ac:dyDescent="0.2">
      <c r="A356" s="84" t="s">
        <v>227</v>
      </c>
      <c r="B356" s="30" t="s">
        <v>328</v>
      </c>
      <c r="C356" s="30" t="s">
        <v>216</v>
      </c>
      <c r="D356" s="30" t="s">
        <v>818</v>
      </c>
      <c r="E356" s="30" t="s">
        <v>166</v>
      </c>
      <c r="F356" s="30" t="s">
        <v>228</v>
      </c>
      <c r="G356" s="41">
        <f>25000-14377</f>
        <v>10623</v>
      </c>
      <c r="H356" s="41">
        <f>25000-22264.8</f>
        <v>2735.2000000000007</v>
      </c>
    </row>
    <row r="357" spans="1:8" x14ac:dyDescent="0.2">
      <c r="A357" s="83" t="s">
        <v>580</v>
      </c>
      <c r="B357" s="25" t="s">
        <v>328</v>
      </c>
      <c r="C357" s="25" t="s">
        <v>216</v>
      </c>
      <c r="D357" s="25" t="s">
        <v>818</v>
      </c>
      <c r="E357" s="25" t="s">
        <v>581</v>
      </c>
      <c r="F357" s="25"/>
      <c r="G357" s="122">
        <f>G358</f>
        <v>0</v>
      </c>
      <c r="H357" s="122">
        <f>H358</f>
        <v>0</v>
      </c>
    </row>
    <row r="358" spans="1:8" x14ac:dyDescent="0.2">
      <c r="A358" s="84" t="s">
        <v>473</v>
      </c>
      <c r="B358" s="30" t="s">
        <v>328</v>
      </c>
      <c r="C358" s="30" t="s">
        <v>216</v>
      </c>
      <c r="D358" s="30" t="s">
        <v>818</v>
      </c>
      <c r="E358" s="30" t="s">
        <v>581</v>
      </c>
      <c r="F358" s="30" t="s">
        <v>226</v>
      </c>
      <c r="G358" s="118">
        <f>G359</f>
        <v>0</v>
      </c>
      <c r="H358" s="118">
        <f>H359</f>
        <v>0</v>
      </c>
    </row>
    <row r="359" spans="1:8" ht="24" x14ac:dyDescent="0.2">
      <c r="A359" s="84" t="s">
        <v>227</v>
      </c>
      <c r="B359" s="30" t="s">
        <v>328</v>
      </c>
      <c r="C359" s="30" t="s">
        <v>216</v>
      </c>
      <c r="D359" s="30" t="s">
        <v>818</v>
      </c>
      <c r="E359" s="30" t="s">
        <v>581</v>
      </c>
      <c r="F359" s="30" t="s">
        <v>228</v>
      </c>
      <c r="G359" s="118">
        <f>10000-10000</f>
        <v>0</v>
      </c>
      <c r="H359" s="118">
        <v>0</v>
      </c>
    </row>
    <row r="360" spans="1:8" ht="24" x14ac:dyDescent="0.2">
      <c r="A360" s="80" t="s">
        <v>763</v>
      </c>
      <c r="B360" s="24" t="s">
        <v>328</v>
      </c>
      <c r="C360" s="24" t="s">
        <v>216</v>
      </c>
      <c r="D360" s="24" t="s">
        <v>818</v>
      </c>
      <c r="E360" s="24" t="s">
        <v>524</v>
      </c>
      <c r="F360" s="24"/>
      <c r="G360" s="42">
        <f>G361+G369</f>
        <v>16638.3</v>
      </c>
      <c r="H360" s="42">
        <f>H361+H369</f>
        <v>16638.3</v>
      </c>
    </row>
    <row r="361" spans="1:8" x14ac:dyDescent="0.2">
      <c r="A361" s="105" t="s">
        <v>533</v>
      </c>
      <c r="B361" s="33" t="s">
        <v>328</v>
      </c>
      <c r="C361" s="33" t="s">
        <v>216</v>
      </c>
      <c r="D361" s="33" t="s">
        <v>818</v>
      </c>
      <c r="E361" s="55" t="s">
        <v>53</v>
      </c>
      <c r="F361" s="33"/>
      <c r="G361" s="101">
        <f>G362</f>
        <v>4182.3</v>
      </c>
      <c r="H361" s="101">
        <f>H362</f>
        <v>4182.3</v>
      </c>
    </row>
    <row r="362" spans="1:8" ht="24" x14ac:dyDescent="0.2">
      <c r="A362" s="80" t="s">
        <v>819</v>
      </c>
      <c r="B362" s="24" t="s">
        <v>328</v>
      </c>
      <c r="C362" s="24" t="s">
        <v>216</v>
      </c>
      <c r="D362" s="24" t="s">
        <v>818</v>
      </c>
      <c r="E362" s="24" t="s">
        <v>53</v>
      </c>
      <c r="F362" s="24"/>
      <c r="G362" s="42">
        <f>G363+G365+G367</f>
        <v>4182.3</v>
      </c>
      <c r="H362" s="42">
        <f>H363+H365+H367</f>
        <v>4182.3</v>
      </c>
    </row>
    <row r="363" spans="1:8" ht="36" x14ac:dyDescent="0.2">
      <c r="A363" s="84" t="s">
        <v>217</v>
      </c>
      <c r="B363" s="30" t="s">
        <v>328</v>
      </c>
      <c r="C363" s="30" t="s">
        <v>216</v>
      </c>
      <c r="D363" s="30" t="s">
        <v>818</v>
      </c>
      <c r="E363" s="30" t="s">
        <v>53</v>
      </c>
      <c r="F363" s="30" t="s">
        <v>218</v>
      </c>
      <c r="G363" s="41">
        <f>G364</f>
        <v>3728.3</v>
      </c>
      <c r="H363" s="41">
        <f>H364</f>
        <v>3728.3</v>
      </c>
    </row>
    <row r="364" spans="1:8" x14ac:dyDescent="0.2">
      <c r="A364" s="84" t="s">
        <v>820</v>
      </c>
      <c r="B364" s="30" t="s">
        <v>328</v>
      </c>
      <c r="C364" s="30" t="s">
        <v>216</v>
      </c>
      <c r="D364" s="30" t="s">
        <v>818</v>
      </c>
      <c r="E364" s="30" t="s">
        <v>53</v>
      </c>
      <c r="F364" s="30" t="s">
        <v>821</v>
      </c>
      <c r="G364" s="41">
        <f>2863.5+864.8</f>
        <v>3728.3</v>
      </c>
      <c r="H364" s="41">
        <f>2863.5+864.8</f>
        <v>3728.3</v>
      </c>
    </row>
    <row r="365" spans="1:8" x14ac:dyDescent="0.2">
      <c r="A365" s="84" t="s">
        <v>473</v>
      </c>
      <c r="B365" s="30" t="s">
        <v>328</v>
      </c>
      <c r="C365" s="30" t="s">
        <v>216</v>
      </c>
      <c r="D365" s="30" t="s">
        <v>818</v>
      </c>
      <c r="E365" s="30" t="s">
        <v>53</v>
      </c>
      <c r="F365" s="30" t="s">
        <v>226</v>
      </c>
      <c r="G365" s="41">
        <f>G366</f>
        <v>419</v>
      </c>
      <c r="H365" s="41">
        <f>H366</f>
        <v>419</v>
      </c>
    </row>
    <row r="366" spans="1:8" ht="24" x14ac:dyDescent="0.2">
      <c r="A366" s="84" t="s">
        <v>227</v>
      </c>
      <c r="B366" s="30" t="s">
        <v>328</v>
      </c>
      <c r="C366" s="30" t="s">
        <v>216</v>
      </c>
      <c r="D366" s="30" t="s">
        <v>818</v>
      </c>
      <c r="E366" s="30" t="s">
        <v>53</v>
      </c>
      <c r="F366" s="30" t="s">
        <v>228</v>
      </c>
      <c r="G366" s="41">
        <v>419</v>
      </c>
      <c r="H366" s="41">
        <v>419</v>
      </c>
    </row>
    <row r="367" spans="1:8" x14ac:dyDescent="0.2">
      <c r="A367" s="84" t="s">
        <v>229</v>
      </c>
      <c r="B367" s="30" t="s">
        <v>328</v>
      </c>
      <c r="C367" s="30" t="s">
        <v>216</v>
      </c>
      <c r="D367" s="30" t="s">
        <v>818</v>
      </c>
      <c r="E367" s="30" t="s">
        <v>53</v>
      </c>
      <c r="F367" s="30" t="s">
        <v>230</v>
      </c>
      <c r="G367" s="41">
        <f>G368</f>
        <v>35</v>
      </c>
      <c r="H367" s="41">
        <f>H368</f>
        <v>35</v>
      </c>
    </row>
    <row r="368" spans="1:8" x14ac:dyDescent="0.2">
      <c r="A368" s="84" t="s">
        <v>311</v>
      </c>
      <c r="B368" s="30" t="s">
        <v>328</v>
      </c>
      <c r="C368" s="30" t="s">
        <v>216</v>
      </c>
      <c r="D368" s="30" t="s">
        <v>818</v>
      </c>
      <c r="E368" s="30" t="s">
        <v>53</v>
      </c>
      <c r="F368" s="30" t="s">
        <v>231</v>
      </c>
      <c r="G368" s="41">
        <v>35</v>
      </c>
      <c r="H368" s="41">
        <v>35</v>
      </c>
    </row>
    <row r="369" spans="1:8" x14ac:dyDescent="0.2">
      <c r="A369" s="123" t="s">
        <v>534</v>
      </c>
      <c r="B369" s="25" t="s">
        <v>328</v>
      </c>
      <c r="C369" s="25" t="s">
        <v>216</v>
      </c>
      <c r="D369" s="25" t="s">
        <v>818</v>
      </c>
      <c r="E369" s="54" t="s">
        <v>54</v>
      </c>
      <c r="F369" s="25"/>
      <c r="G369" s="45">
        <f>G370</f>
        <v>12456</v>
      </c>
      <c r="H369" s="45">
        <f>H370</f>
        <v>12456</v>
      </c>
    </row>
    <row r="370" spans="1:8" s="48" customFormat="1" ht="24" x14ac:dyDescent="0.2">
      <c r="A370" s="84" t="s">
        <v>246</v>
      </c>
      <c r="B370" s="30" t="s">
        <v>328</v>
      </c>
      <c r="C370" s="30" t="s">
        <v>216</v>
      </c>
      <c r="D370" s="30" t="s">
        <v>818</v>
      </c>
      <c r="E370" s="30" t="s">
        <v>54</v>
      </c>
      <c r="F370" s="30" t="s">
        <v>702</v>
      </c>
      <c r="G370" s="41">
        <f>G371</f>
        <v>12456</v>
      </c>
      <c r="H370" s="41">
        <f>H371</f>
        <v>12456</v>
      </c>
    </row>
    <row r="371" spans="1:8" s="48" customFormat="1" x14ac:dyDescent="0.2">
      <c r="A371" s="84" t="s">
        <v>247</v>
      </c>
      <c r="B371" s="30" t="s">
        <v>328</v>
      </c>
      <c r="C371" s="30" t="s">
        <v>216</v>
      </c>
      <c r="D371" s="30" t="s">
        <v>818</v>
      </c>
      <c r="E371" s="30" t="s">
        <v>54</v>
      </c>
      <c r="F371" s="30" t="s">
        <v>724</v>
      </c>
      <c r="G371" s="41">
        <v>12456</v>
      </c>
      <c r="H371" s="41">
        <v>12456</v>
      </c>
    </row>
    <row r="372" spans="1:8" s="48" customFormat="1" ht="31.5" x14ac:dyDescent="0.2">
      <c r="A372" s="79" t="s">
        <v>707</v>
      </c>
      <c r="B372" s="46">
        <v>603</v>
      </c>
      <c r="C372" s="47"/>
      <c r="D372" s="47"/>
      <c r="E372" s="47"/>
      <c r="F372" s="47"/>
      <c r="G372" s="102">
        <f>G373+G393</f>
        <v>183545</v>
      </c>
      <c r="H372" s="102">
        <f>H373+H393</f>
        <v>178945</v>
      </c>
    </row>
    <row r="373" spans="1:8" s="48" customFormat="1" x14ac:dyDescent="0.2">
      <c r="A373" s="80" t="s">
        <v>673</v>
      </c>
      <c r="B373" s="24">
        <v>603</v>
      </c>
      <c r="C373" s="24" t="s">
        <v>824</v>
      </c>
      <c r="D373" s="24" t="s">
        <v>215</v>
      </c>
      <c r="E373" s="24"/>
      <c r="F373" s="24"/>
      <c r="G373" s="42">
        <f>G374+G381</f>
        <v>94373.4</v>
      </c>
      <c r="H373" s="42">
        <f>H374+H381</f>
        <v>94373.4</v>
      </c>
    </row>
    <row r="374" spans="1:8" s="48" customFormat="1" x14ac:dyDescent="0.2">
      <c r="A374" s="80" t="s">
        <v>449</v>
      </c>
      <c r="B374" s="24">
        <v>603</v>
      </c>
      <c r="C374" s="24" t="s">
        <v>824</v>
      </c>
      <c r="D374" s="24" t="s">
        <v>817</v>
      </c>
      <c r="E374" s="24"/>
      <c r="F374" s="24"/>
      <c r="G374" s="42">
        <f t="shared" ref="G374:H379" si="22">G375</f>
        <v>91873.4</v>
      </c>
      <c r="H374" s="42">
        <f t="shared" si="22"/>
        <v>91873.4</v>
      </c>
    </row>
    <row r="375" spans="1:8" s="48" customFormat="1" ht="27" x14ac:dyDescent="0.2">
      <c r="A375" s="86" t="s">
        <v>548</v>
      </c>
      <c r="B375" s="53" t="s">
        <v>703</v>
      </c>
      <c r="C375" s="53" t="s">
        <v>824</v>
      </c>
      <c r="D375" s="53" t="s">
        <v>817</v>
      </c>
      <c r="E375" s="53" t="s">
        <v>427</v>
      </c>
      <c r="F375" s="53"/>
      <c r="G375" s="57">
        <f t="shared" si="22"/>
        <v>91873.4</v>
      </c>
      <c r="H375" s="57">
        <f t="shared" si="22"/>
        <v>91873.4</v>
      </c>
    </row>
    <row r="376" spans="1:8" s="48" customFormat="1" ht="24" x14ac:dyDescent="0.2">
      <c r="A376" s="80" t="s">
        <v>651</v>
      </c>
      <c r="B376" s="24" t="s">
        <v>703</v>
      </c>
      <c r="C376" s="24" t="s">
        <v>824</v>
      </c>
      <c r="D376" s="24" t="s">
        <v>817</v>
      </c>
      <c r="E376" s="24" t="s">
        <v>428</v>
      </c>
      <c r="F376" s="24"/>
      <c r="G376" s="42">
        <f t="shared" si="22"/>
        <v>91873.4</v>
      </c>
      <c r="H376" s="42">
        <f t="shared" si="22"/>
        <v>91873.4</v>
      </c>
    </row>
    <row r="377" spans="1:8" s="48" customFormat="1" ht="24" x14ac:dyDescent="0.2">
      <c r="A377" s="80" t="s">
        <v>652</v>
      </c>
      <c r="B377" s="24" t="s">
        <v>703</v>
      </c>
      <c r="C377" s="24" t="s">
        <v>824</v>
      </c>
      <c r="D377" s="24" t="s">
        <v>817</v>
      </c>
      <c r="E377" s="24" t="s">
        <v>90</v>
      </c>
      <c r="F377" s="24"/>
      <c r="G377" s="42">
        <f t="shared" si="22"/>
        <v>91873.4</v>
      </c>
      <c r="H377" s="42">
        <f t="shared" si="22"/>
        <v>91873.4</v>
      </c>
    </row>
    <row r="378" spans="1:8" s="48" customFormat="1" ht="24" x14ac:dyDescent="0.2">
      <c r="A378" s="85" t="s">
        <v>494</v>
      </c>
      <c r="B378" s="33" t="s">
        <v>703</v>
      </c>
      <c r="C378" s="33" t="s">
        <v>824</v>
      </c>
      <c r="D378" s="33" t="s">
        <v>817</v>
      </c>
      <c r="E378" s="33" t="s">
        <v>90</v>
      </c>
      <c r="F378" s="25"/>
      <c r="G378" s="45">
        <f t="shared" si="22"/>
        <v>91873.4</v>
      </c>
      <c r="H378" s="45">
        <f t="shared" si="22"/>
        <v>91873.4</v>
      </c>
    </row>
    <row r="379" spans="1:8" s="49" customFormat="1" ht="24" x14ac:dyDescent="0.2">
      <c r="A379" s="84" t="s">
        <v>246</v>
      </c>
      <c r="B379" s="30" t="s">
        <v>703</v>
      </c>
      <c r="C379" s="30" t="s">
        <v>824</v>
      </c>
      <c r="D379" s="30" t="s">
        <v>817</v>
      </c>
      <c r="E379" s="30" t="s">
        <v>90</v>
      </c>
      <c r="F379" s="30" t="s">
        <v>702</v>
      </c>
      <c r="G379" s="41">
        <f t="shared" si="22"/>
        <v>91873.4</v>
      </c>
      <c r="H379" s="41">
        <f t="shared" si="22"/>
        <v>91873.4</v>
      </c>
    </row>
    <row r="380" spans="1:8" x14ac:dyDescent="0.2">
      <c r="A380" s="84" t="s">
        <v>247</v>
      </c>
      <c r="B380" s="30" t="s">
        <v>703</v>
      </c>
      <c r="C380" s="30" t="s">
        <v>824</v>
      </c>
      <c r="D380" s="30" t="s">
        <v>817</v>
      </c>
      <c r="E380" s="30" t="s">
        <v>90</v>
      </c>
      <c r="F380" s="30" t="s">
        <v>724</v>
      </c>
      <c r="G380" s="41">
        <v>91873.4</v>
      </c>
      <c r="H380" s="41">
        <v>91873.4</v>
      </c>
    </row>
    <row r="381" spans="1:8" x14ac:dyDescent="0.2">
      <c r="A381" s="80" t="s">
        <v>676</v>
      </c>
      <c r="B381" s="24" t="s">
        <v>703</v>
      </c>
      <c r="C381" s="24" t="s">
        <v>824</v>
      </c>
      <c r="D381" s="24" t="s">
        <v>824</v>
      </c>
      <c r="E381" s="24"/>
      <c r="F381" s="24"/>
      <c r="G381" s="42">
        <f>G382</f>
        <v>2500</v>
      </c>
      <c r="H381" s="42">
        <f>H382</f>
        <v>2500</v>
      </c>
    </row>
    <row r="382" spans="1:8" ht="27" x14ac:dyDescent="0.2">
      <c r="A382" s="86" t="s">
        <v>548</v>
      </c>
      <c r="B382" s="53" t="s">
        <v>703</v>
      </c>
      <c r="C382" s="53" t="s">
        <v>824</v>
      </c>
      <c r="D382" s="53" t="s">
        <v>824</v>
      </c>
      <c r="E382" s="53" t="s">
        <v>427</v>
      </c>
      <c r="F382" s="53"/>
      <c r="G382" s="57">
        <f>G383</f>
        <v>2500</v>
      </c>
      <c r="H382" s="57">
        <f>H383</f>
        <v>2500</v>
      </c>
    </row>
    <row r="383" spans="1:8" ht="27" x14ac:dyDescent="0.2">
      <c r="A383" s="86" t="s">
        <v>650</v>
      </c>
      <c r="B383" s="53">
        <v>603</v>
      </c>
      <c r="C383" s="53" t="s">
        <v>824</v>
      </c>
      <c r="D383" s="53" t="s">
        <v>824</v>
      </c>
      <c r="E383" s="53" t="s">
        <v>433</v>
      </c>
      <c r="F383" s="53"/>
      <c r="G383" s="57">
        <f>G384+G387+G390</f>
        <v>2500</v>
      </c>
      <c r="H383" s="57">
        <f>H384+H387+H390</f>
        <v>2500</v>
      </c>
    </row>
    <row r="384" spans="1:8" x14ac:dyDescent="0.2">
      <c r="A384" s="75" t="s">
        <v>434</v>
      </c>
      <c r="B384" s="24">
        <v>603</v>
      </c>
      <c r="C384" s="24" t="s">
        <v>824</v>
      </c>
      <c r="D384" s="24" t="s">
        <v>824</v>
      </c>
      <c r="E384" s="24" t="s">
        <v>91</v>
      </c>
      <c r="F384" s="24"/>
      <c r="G384" s="42">
        <f>G385</f>
        <v>1850</v>
      </c>
      <c r="H384" s="42">
        <f>H385</f>
        <v>1850</v>
      </c>
    </row>
    <row r="385" spans="1:8" x14ac:dyDescent="0.2">
      <c r="A385" s="84" t="s">
        <v>473</v>
      </c>
      <c r="B385" s="30" t="s">
        <v>703</v>
      </c>
      <c r="C385" s="30" t="s">
        <v>824</v>
      </c>
      <c r="D385" s="30" t="s">
        <v>824</v>
      </c>
      <c r="E385" s="30" t="s">
        <v>91</v>
      </c>
      <c r="F385" s="30" t="s">
        <v>226</v>
      </c>
      <c r="G385" s="41">
        <f>G386</f>
        <v>1850</v>
      </c>
      <c r="H385" s="41">
        <f>H386</f>
        <v>1850</v>
      </c>
    </row>
    <row r="386" spans="1:8" ht="24" x14ac:dyDescent="0.2">
      <c r="A386" s="84" t="s">
        <v>227</v>
      </c>
      <c r="B386" s="30" t="s">
        <v>703</v>
      </c>
      <c r="C386" s="30" t="s">
        <v>824</v>
      </c>
      <c r="D386" s="30" t="s">
        <v>824</v>
      </c>
      <c r="E386" s="30" t="s">
        <v>91</v>
      </c>
      <c r="F386" s="30" t="s">
        <v>228</v>
      </c>
      <c r="G386" s="41">
        <v>1850</v>
      </c>
      <c r="H386" s="41">
        <v>1850</v>
      </c>
    </row>
    <row r="387" spans="1:8" x14ac:dyDescent="0.2">
      <c r="A387" s="75" t="s">
        <v>435</v>
      </c>
      <c r="B387" s="24">
        <v>603</v>
      </c>
      <c r="C387" s="24" t="s">
        <v>824</v>
      </c>
      <c r="D387" s="24" t="s">
        <v>824</v>
      </c>
      <c r="E387" s="24" t="s">
        <v>92</v>
      </c>
      <c r="F387" s="24"/>
      <c r="G387" s="42">
        <f>G388</f>
        <v>150</v>
      </c>
      <c r="H387" s="42">
        <f>H388</f>
        <v>150</v>
      </c>
    </row>
    <row r="388" spans="1:8" x14ac:dyDescent="0.2">
      <c r="A388" s="84" t="s">
        <v>473</v>
      </c>
      <c r="B388" s="30" t="s">
        <v>703</v>
      </c>
      <c r="C388" s="30" t="s">
        <v>824</v>
      </c>
      <c r="D388" s="30" t="s">
        <v>824</v>
      </c>
      <c r="E388" s="30" t="s">
        <v>92</v>
      </c>
      <c r="F388" s="30" t="s">
        <v>226</v>
      </c>
      <c r="G388" s="41">
        <f>G389</f>
        <v>150</v>
      </c>
      <c r="H388" s="41">
        <f>H389</f>
        <v>150</v>
      </c>
    </row>
    <row r="389" spans="1:8" ht="24" x14ac:dyDescent="0.2">
      <c r="A389" s="84" t="s">
        <v>227</v>
      </c>
      <c r="B389" s="30" t="s">
        <v>703</v>
      </c>
      <c r="C389" s="30" t="s">
        <v>824</v>
      </c>
      <c r="D389" s="30" t="s">
        <v>824</v>
      </c>
      <c r="E389" s="30" t="s">
        <v>92</v>
      </c>
      <c r="F389" s="30" t="s">
        <v>228</v>
      </c>
      <c r="G389" s="41">
        <v>150</v>
      </c>
      <c r="H389" s="41">
        <v>150</v>
      </c>
    </row>
    <row r="390" spans="1:8" ht="24" x14ac:dyDescent="0.2">
      <c r="A390" s="80" t="s">
        <v>203</v>
      </c>
      <c r="B390" s="24" t="s">
        <v>703</v>
      </c>
      <c r="C390" s="24" t="s">
        <v>824</v>
      </c>
      <c r="D390" s="24" t="s">
        <v>824</v>
      </c>
      <c r="E390" s="24" t="s">
        <v>93</v>
      </c>
      <c r="F390" s="24"/>
      <c r="G390" s="42">
        <f>G391</f>
        <v>500</v>
      </c>
      <c r="H390" s="42">
        <f>H391</f>
        <v>500</v>
      </c>
    </row>
    <row r="391" spans="1:8" ht="24" x14ac:dyDescent="0.2">
      <c r="A391" s="84" t="s">
        <v>246</v>
      </c>
      <c r="B391" s="30" t="s">
        <v>703</v>
      </c>
      <c r="C391" s="30" t="s">
        <v>824</v>
      </c>
      <c r="D391" s="30" t="s">
        <v>824</v>
      </c>
      <c r="E391" s="30" t="s">
        <v>93</v>
      </c>
      <c r="F391" s="30" t="s">
        <v>702</v>
      </c>
      <c r="G391" s="41">
        <f>G392</f>
        <v>500</v>
      </c>
      <c r="H391" s="41">
        <f>H392</f>
        <v>500</v>
      </c>
    </row>
    <row r="392" spans="1:8" ht="24" x14ac:dyDescent="0.2">
      <c r="A392" s="172" t="s">
        <v>290</v>
      </c>
      <c r="B392" s="30" t="s">
        <v>703</v>
      </c>
      <c r="C392" s="30" t="s">
        <v>824</v>
      </c>
      <c r="D392" s="30" t="s">
        <v>824</v>
      </c>
      <c r="E392" s="30" t="s">
        <v>93</v>
      </c>
      <c r="F392" s="30" t="s">
        <v>794</v>
      </c>
      <c r="G392" s="41">
        <v>500</v>
      </c>
      <c r="H392" s="41">
        <v>500</v>
      </c>
    </row>
    <row r="393" spans="1:8" x14ac:dyDescent="0.2">
      <c r="A393" s="80" t="s">
        <v>689</v>
      </c>
      <c r="B393" s="24">
        <v>603</v>
      </c>
      <c r="C393" s="24" t="s">
        <v>822</v>
      </c>
      <c r="D393" s="24" t="s">
        <v>215</v>
      </c>
      <c r="E393" s="24"/>
      <c r="F393" s="24"/>
      <c r="G393" s="42">
        <f>G394+G408</f>
        <v>89171.599999999991</v>
      </c>
      <c r="H393" s="42">
        <f>H394+H408</f>
        <v>84571.599999999991</v>
      </c>
    </row>
    <row r="394" spans="1:8" x14ac:dyDescent="0.2">
      <c r="A394" s="80" t="s">
        <v>678</v>
      </c>
      <c r="B394" s="24">
        <v>603</v>
      </c>
      <c r="C394" s="24" t="s">
        <v>822</v>
      </c>
      <c r="D394" s="24" t="s">
        <v>214</v>
      </c>
      <c r="E394" s="24"/>
      <c r="F394" s="24"/>
      <c r="G394" s="42">
        <f>G395</f>
        <v>65007.799999999996</v>
      </c>
      <c r="H394" s="42">
        <f>H395</f>
        <v>60407.799999999996</v>
      </c>
    </row>
    <row r="395" spans="1:8" ht="27" x14ac:dyDescent="0.2">
      <c r="A395" s="86" t="s">
        <v>548</v>
      </c>
      <c r="B395" s="53" t="s">
        <v>703</v>
      </c>
      <c r="C395" s="53" t="s">
        <v>822</v>
      </c>
      <c r="D395" s="53" t="s">
        <v>214</v>
      </c>
      <c r="E395" s="53" t="s">
        <v>427</v>
      </c>
      <c r="F395" s="53"/>
      <c r="G395" s="57">
        <f>G396</f>
        <v>65007.799999999996</v>
      </c>
      <c r="H395" s="57">
        <f>H396</f>
        <v>60407.799999999996</v>
      </c>
    </row>
    <row r="396" spans="1:8" ht="24" x14ac:dyDescent="0.2">
      <c r="A396" s="80" t="s">
        <v>651</v>
      </c>
      <c r="B396" s="24" t="s">
        <v>703</v>
      </c>
      <c r="C396" s="24" t="s">
        <v>822</v>
      </c>
      <c r="D396" s="24" t="s">
        <v>214</v>
      </c>
      <c r="E396" s="24" t="s">
        <v>428</v>
      </c>
      <c r="F396" s="24"/>
      <c r="G396" s="42">
        <f>G397+G401+G404</f>
        <v>65007.799999999996</v>
      </c>
      <c r="H396" s="42">
        <f>H397+H401+H404</f>
        <v>60407.799999999996</v>
      </c>
    </row>
    <row r="397" spans="1:8" ht="24" x14ac:dyDescent="0.2">
      <c r="A397" s="80" t="s">
        <v>466</v>
      </c>
      <c r="B397" s="24" t="s">
        <v>703</v>
      </c>
      <c r="C397" s="24" t="s">
        <v>822</v>
      </c>
      <c r="D397" s="24" t="s">
        <v>214</v>
      </c>
      <c r="E397" s="24" t="s">
        <v>436</v>
      </c>
      <c r="F397" s="24"/>
      <c r="G397" s="42">
        <f t="shared" ref="G397:H399" si="23">G398</f>
        <v>11087.1</v>
      </c>
      <c r="H397" s="42">
        <f t="shared" si="23"/>
        <v>11087.1</v>
      </c>
    </row>
    <row r="398" spans="1:8" ht="24" x14ac:dyDescent="0.2">
      <c r="A398" s="85" t="s">
        <v>730</v>
      </c>
      <c r="B398" s="33">
        <v>603</v>
      </c>
      <c r="C398" s="33" t="s">
        <v>822</v>
      </c>
      <c r="D398" s="33" t="s">
        <v>214</v>
      </c>
      <c r="E398" s="33" t="s">
        <v>94</v>
      </c>
      <c r="F398" s="33"/>
      <c r="G398" s="101">
        <f t="shared" si="23"/>
        <v>11087.1</v>
      </c>
      <c r="H398" s="101">
        <f t="shared" si="23"/>
        <v>11087.1</v>
      </c>
    </row>
    <row r="399" spans="1:8" ht="24" x14ac:dyDescent="0.2">
      <c r="A399" s="84" t="s">
        <v>246</v>
      </c>
      <c r="B399" s="30">
        <v>603</v>
      </c>
      <c r="C399" s="30" t="s">
        <v>822</v>
      </c>
      <c r="D399" s="30" t="s">
        <v>214</v>
      </c>
      <c r="E399" s="30" t="s">
        <v>94</v>
      </c>
      <c r="F399" s="30" t="s">
        <v>702</v>
      </c>
      <c r="G399" s="41">
        <f t="shared" si="23"/>
        <v>11087.1</v>
      </c>
      <c r="H399" s="41">
        <f t="shared" si="23"/>
        <v>11087.1</v>
      </c>
    </row>
    <row r="400" spans="1:8" x14ac:dyDescent="0.2">
      <c r="A400" s="84" t="s">
        <v>247</v>
      </c>
      <c r="B400" s="30">
        <v>603</v>
      </c>
      <c r="C400" s="30" t="s">
        <v>822</v>
      </c>
      <c r="D400" s="30" t="s">
        <v>214</v>
      </c>
      <c r="E400" s="30" t="s">
        <v>94</v>
      </c>
      <c r="F400" s="30" t="s">
        <v>724</v>
      </c>
      <c r="G400" s="41">
        <v>11087.1</v>
      </c>
      <c r="H400" s="41">
        <v>11087.1</v>
      </c>
    </row>
    <row r="401" spans="1:8" ht="24" x14ac:dyDescent="0.2">
      <c r="A401" s="83" t="s">
        <v>140</v>
      </c>
      <c r="B401" s="25" t="s">
        <v>703</v>
      </c>
      <c r="C401" s="25" t="s">
        <v>822</v>
      </c>
      <c r="D401" s="25" t="s">
        <v>214</v>
      </c>
      <c r="E401" s="25" t="s">
        <v>437</v>
      </c>
      <c r="F401" s="25"/>
      <c r="G401" s="122">
        <f>G402</f>
        <v>20000</v>
      </c>
      <c r="H401" s="122">
        <f>H402</f>
        <v>15400</v>
      </c>
    </row>
    <row r="402" spans="1:8" ht="24" x14ac:dyDescent="0.2">
      <c r="A402" s="84" t="s">
        <v>246</v>
      </c>
      <c r="B402" s="30">
        <v>603</v>
      </c>
      <c r="C402" s="30" t="s">
        <v>822</v>
      </c>
      <c r="D402" s="30" t="s">
        <v>214</v>
      </c>
      <c r="E402" s="30" t="s">
        <v>437</v>
      </c>
      <c r="F402" s="30" t="s">
        <v>702</v>
      </c>
      <c r="G402" s="118">
        <f>G403</f>
        <v>20000</v>
      </c>
      <c r="H402" s="118">
        <f>H403</f>
        <v>15400</v>
      </c>
    </row>
    <row r="403" spans="1:8" x14ac:dyDescent="0.2">
      <c r="A403" s="84" t="s">
        <v>247</v>
      </c>
      <c r="B403" s="30">
        <v>603</v>
      </c>
      <c r="C403" s="30" t="s">
        <v>822</v>
      </c>
      <c r="D403" s="30" t="s">
        <v>214</v>
      </c>
      <c r="E403" s="30" t="s">
        <v>437</v>
      </c>
      <c r="F403" s="30" t="s">
        <v>724</v>
      </c>
      <c r="G403" s="118">
        <v>20000</v>
      </c>
      <c r="H403" s="118">
        <v>15400</v>
      </c>
    </row>
    <row r="404" spans="1:8" ht="24" x14ac:dyDescent="0.2">
      <c r="A404" s="80" t="s">
        <v>653</v>
      </c>
      <c r="B404" s="24" t="s">
        <v>703</v>
      </c>
      <c r="C404" s="24" t="s">
        <v>822</v>
      </c>
      <c r="D404" s="24" t="s">
        <v>214</v>
      </c>
      <c r="E404" s="24" t="s">
        <v>438</v>
      </c>
      <c r="F404" s="24"/>
      <c r="G404" s="42">
        <f t="shared" ref="G404:H406" si="24">G405</f>
        <v>33920.699999999997</v>
      </c>
      <c r="H404" s="42">
        <f t="shared" si="24"/>
        <v>33920.699999999997</v>
      </c>
    </row>
    <row r="405" spans="1:8" ht="24" x14ac:dyDescent="0.2">
      <c r="A405" s="85" t="s">
        <v>95</v>
      </c>
      <c r="B405" s="33" t="s">
        <v>703</v>
      </c>
      <c r="C405" s="33" t="s">
        <v>822</v>
      </c>
      <c r="D405" s="33" t="s">
        <v>214</v>
      </c>
      <c r="E405" s="33" t="s">
        <v>96</v>
      </c>
      <c r="F405" s="25"/>
      <c r="G405" s="101">
        <f t="shared" si="24"/>
        <v>33920.699999999997</v>
      </c>
      <c r="H405" s="101">
        <f t="shared" si="24"/>
        <v>33920.699999999997</v>
      </c>
    </row>
    <row r="406" spans="1:8" ht="24" x14ac:dyDescent="0.2">
      <c r="A406" s="84" t="s">
        <v>246</v>
      </c>
      <c r="B406" s="30" t="s">
        <v>703</v>
      </c>
      <c r="C406" s="30" t="s">
        <v>822</v>
      </c>
      <c r="D406" s="30" t="s">
        <v>214</v>
      </c>
      <c r="E406" s="30" t="s">
        <v>96</v>
      </c>
      <c r="F406" s="30" t="s">
        <v>702</v>
      </c>
      <c r="G406" s="41">
        <f t="shared" si="24"/>
        <v>33920.699999999997</v>
      </c>
      <c r="H406" s="41">
        <f t="shared" si="24"/>
        <v>33920.699999999997</v>
      </c>
    </row>
    <row r="407" spans="1:8" x14ac:dyDescent="0.2">
      <c r="A407" s="84" t="s">
        <v>247</v>
      </c>
      <c r="B407" s="30" t="s">
        <v>703</v>
      </c>
      <c r="C407" s="30" t="s">
        <v>822</v>
      </c>
      <c r="D407" s="30" t="s">
        <v>214</v>
      </c>
      <c r="E407" s="30" t="s">
        <v>96</v>
      </c>
      <c r="F407" s="30" t="s">
        <v>724</v>
      </c>
      <c r="G407" s="41">
        <v>33920.699999999997</v>
      </c>
      <c r="H407" s="41">
        <v>33920.699999999997</v>
      </c>
    </row>
    <row r="408" spans="1:8" x14ac:dyDescent="0.2">
      <c r="A408" s="80" t="s">
        <v>799</v>
      </c>
      <c r="B408" s="24">
        <v>603</v>
      </c>
      <c r="C408" s="24" t="s">
        <v>822</v>
      </c>
      <c r="D408" s="24" t="s">
        <v>216</v>
      </c>
      <c r="E408" s="24"/>
      <c r="F408" s="24"/>
      <c r="G408" s="42">
        <f>G409</f>
        <v>24163.8</v>
      </c>
      <c r="H408" s="42">
        <f>H409</f>
        <v>24163.8</v>
      </c>
    </row>
    <row r="409" spans="1:8" ht="27" x14ac:dyDescent="0.2">
      <c r="A409" s="86" t="s">
        <v>548</v>
      </c>
      <c r="B409" s="53">
        <v>603</v>
      </c>
      <c r="C409" s="53" t="s">
        <v>822</v>
      </c>
      <c r="D409" s="53" t="s">
        <v>216</v>
      </c>
      <c r="E409" s="53" t="s">
        <v>427</v>
      </c>
      <c r="F409" s="53"/>
      <c r="G409" s="57">
        <f>G410+G432</f>
        <v>24163.8</v>
      </c>
      <c r="H409" s="57">
        <f>H410+H432</f>
        <v>24163.8</v>
      </c>
    </row>
    <row r="410" spans="1:8" ht="13.5" x14ac:dyDescent="0.2">
      <c r="A410" s="86" t="s">
        <v>213</v>
      </c>
      <c r="B410" s="53" t="s">
        <v>703</v>
      </c>
      <c r="C410" s="53" t="s">
        <v>822</v>
      </c>
      <c r="D410" s="53" t="s">
        <v>216</v>
      </c>
      <c r="E410" s="53" t="s">
        <v>443</v>
      </c>
      <c r="F410" s="53"/>
      <c r="G410" s="57">
        <f>G411+G414+G417+G420+G423+G426+G429</f>
        <v>20000</v>
      </c>
      <c r="H410" s="57">
        <f>H411+H414+H417+H420+H423+H426+H429</f>
        <v>20000</v>
      </c>
    </row>
    <row r="411" spans="1:8" x14ac:dyDescent="0.2">
      <c r="A411" s="75" t="s">
        <v>251</v>
      </c>
      <c r="B411" s="24" t="s">
        <v>703</v>
      </c>
      <c r="C411" s="24" t="s">
        <v>822</v>
      </c>
      <c r="D411" s="24" t="s">
        <v>216</v>
      </c>
      <c r="E411" s="24" t="s">
        <v>98</v>
      </c>
      <c r="F411" s="25"/>
      <c r="G411" s="42">
        <f>G412</f>
        <v>17950</v>
      </c>
      <c r="H411" s="42">
        <f>H412</f>
        <v>17950</v>
      </c>
    </row>
    <row r="412" spans="1:8" x14ac:dyDescent="0.2">
      <c r="A412" s="84" t="s">
        <v>473</v>
      </c>
      <c r="B412" s="30" t="s">
        <v>703</v>
      </c>
      <c r="C412" s="30" t="s">
        <v>822</v>
      </c>
      <c r="D412" s="30" t="s">
        <v>216</v>
      </c>
      <c r="E412" s="30" t="s">
        <v>98</v>
      </c>
      <c r="F412" s="30" t="s">
        <v>226</v>
      </c>
      <c r="G412" s="41">
        <f>G413</f>
        <v>17950</v>
      </c>
      <c r="H412" s="41">
        <f>H413</f>
        <v>17950</v>
      </c>
    </row>
    <row r="413" spans="1:8" ht="24" x14ac:dyDescent="0.2">
      <c r="A413" s="84" t="s">
        <v>227</v>
      </c>
      <c r="B413" s="30" t="s">
        <v>703</v>
      </c>
      <c r="C413" s="30" t="s">
        <v>822</v>
      </c>
      <c r="D413" s="30" t="s">
        <v>216</v>
      </c>
      <c r="E413" s="30" t="s">
        <v>98</v>
      </c>
      <c r="F413" s="30" t="s">
        <v>228</v>
      </c>
      <c r="G413" s="41">
        <v>17950</v>
      </c>
      <c r="H413" s="41">
        <v>17950</v>
      </c>
    </row>
    <row r="414" spans="1:8" ht="13.5" x14ac:dyDescent="0.2">
      <c r="A414" s="129" t="s">
        <v>563</v>
      </c>
      <c r="B414" s="24" t="s">
        <v>703</v>
      </c>
      <c r="C414" s="24" t="s">
        <v>822</v>
      </c>
      <c r="D414" s="24" t="s">
        <v>216</v>
      </c>
      <c r="E414" s="24" t="s">
        <v>97</v>
      </c>
      <c r="F414" s="53"/>
      <c r="G414" s="42">
        <f>G415</f>
        <v>500</v>
      </c>
      <c r="H414" s="42">
        <f>H415</f>
        <v>500</v>
      </c>
    </row>
    <row r="415" spans="1:8" x14ac:dyDescent="0.2">
      <c r="A415" s="84" t="s">
        <v>473</v>
      </c>
      <c r="B415" s="30" t="s">
        <v>703</v>
      </c>
      <c r="C415" s="30" t="s">
        <v>822</v>
      </c>
      <c r="D415" s="30" t="s">
        <v>216</v>
      </c>
      <c r="E415" s="30" t="s">
        <v>97</v>
      </c>
      <c r="F415" s="30" t="s">
        <v>226</v>
      </c>
      <c r="G415" s="41">
        <f>G416</f>
        <v>500</v>
      </c>
      <c r="H415" s="41">
        <f>H416</f>
        <v>500</v>
      </c>
    </row>
    <row r="416" spans="1:8" ht="24" x14ac:dyDescent="0.2">
      <c r="A416" s="84" t="s">
        <v>227</v>
      </c>
      <c r="B416" s="30" t="s">
        <v>703</v>
      </c>
      <c r="C416" s="30" t="s">
        <v>822</v>
      </c>
      <c r="D416" s="30" t="s">
        <v>216</v>
      </c>
      <c r="E416" s="30" t="s">
        <v>97</v>
      </c>
      <c r="F416" s="30" t="s">
        <v>228</v>
      </c>
      <c r="G416" s="41">
        <v>500</v>
      </c>
      <c r="H416" s="41">
        <v>500</v>
      </c>
    </row>
    <row r="417" spans="1:8" ht="36" x14ac:dyDescent="0.2">
      <c r="A417" s="80" t="s">
        <v>600</v>
      </c>
      <c r="B417" s="24" t="s">
        <v>703</v>
      </c>
      <c r="C417" s="24" t="s">
        <v>822</v>
      </c>
      <c r="D417" s="24" t="s">
        <v>216</v>
      </c>
      <c r="E417" s="24" t="s">
        <v>99</v>
      </c>
      <c r="F417" s="24"/>
      <c r="G417" s="42">
        <f>G418</f>
        <v>200</v>
      </c>
      <c r="H417" s="42">
        <f>H418</f>
        <v>200</v>
      </c>
    </row>
    <row r="418" spans="1:8" x14ac:dyDescent="0.2">
      <c r="A418" s="84" t="s">
        <v>473</v>
      </c>
      <c r="B418" s="30" t="s">
        <v>703</v>
      </c>
      <c r="C418" s="30" t="s">
        <v>822</v>
      </c>
      <c r="D418" s="30" t="s">
        <v>216</v>
      </c>
      <c r="E418" s="30" t="s">
        <v>99</v>
      </c>
      <c r="F418" s="30" t="s">
        <v>226</v>
      </c>
      <c r="G418" s="41">
        <f>G419</f>
        <v>200</v>
      </c>
      <c r="H418" s="41">
        <f>H419</f>
        <v>200</v>
      </c>
    </row>
    <row r="419" spans="1:8" ht="24" x14ac:dyDescent="0.2">
      <c r="A419" s="84" t="s">
        <v>227</v>
      </c>
      <c r="B419" s="30" t="s">
        <v>703</v>
      </c>
      <c r="C419" s="30" t="s">
        <v>822</v>
      </c>
      <c r="D419" s="30" t="s">
        <v>216</v>
      </c>
      <c r="E419" s="30" t="s">
        <v>99</v>
      </c>
      <c r="F419" s="30" t="s">
        <v>228</v>
      </c>
      <c r="G419" s="41">
        <v>200</v>
      </c>
      <c r="H419" s="41">
        <v>200</v>
      </c>
    </row>
    <row r="420" spans="1:8" ht="24" x14ac:dyDescent="0.2">
      <c r="A420" s="80" t="s">
        <v>601</v>
      </c>
      <c r="B420" s="24" t="s">
        <v>703</v>
      </c>
      <c r="C420" s="24" t="s">
        <v>822</v>
      </c>
      <c r="D420" s="24" t="s">
        <v>216</v>
      </c>
      <c r="E420" s="24" t="s">
        <v>100</v>
      </c>
      <c r="F420" s="24"/>
      <c r="G420" s="42">
        <f>G421</f>
        <v>50</v>
      </c>
      <c r="H420" s="42">
        <f>H421</f>
        <v>50</v>
      </c>
    </row>
    <row r="421" spans="1:8" x14ac:dyDescent="0.2">
      <c r="A421" s="84" t="s">
        <v>473</v>
      </c>
      <c r="B421" s="30" t="s">
        <v>703</v>
      </c>
      <c r="C421" s="30" t="s">
        <v>822</v>
      </c>
      <c r="D421" s="30" t="s">
        <v>216</v>
      </c>
      <c r="E421" s="30" t="s">
        <v>100</v>
      </c>
      <c r="F421" s="30" t="s">
        <v>226</v>
      </c>
      <c r="G421" s="41">
        <f>G422</f>
        <v>50</v>
      </c>
      <c r="H421" s="41">
        <f>H422</f>
        <v>50</v>
      </c>
    </row>
    <row r="422" spans="1:8" ht="24" x14ac:dyDescent="0.2">
      <c r="A422" s="84" t="s">
        <v>227</v>
      </c>
      <c r="B422" s="30" t="s">
        <v>703</v>
      </c>
      <c r="C422" s="30" t="s">
        <v>822</v>
      </c>
      <c r="D422" s="30" t="s">
        <v>216</v>
      </c>
      <c r="E422" s="30" t="s">
        <v>100</v>
      </c>
      <c r="F422" s="30" t="s">
        <v>228</v>
      </c>
      <c r="G422" s="41">
        <v>50</v>
      </c>
      <c r="H422" s="41">
        <v>50</v>
      </c>
    </row>
    <row r="423" spans="1:8" ht="24" x14ac:dyDescent="0.2">
      <c r="A423" s="80" t="s">
        <v>759</v>
      </c>
      <c r="B423" s="24" t="s">
        <v>703</v>
      </c>
      <c r="C423" s="24" t="s">
        <v>822</v>
      </c>
      <c r="D423" s="24" t="s">
        <v>216</v>
      </c>
      <c r="E423" s="24" t="s">
        <v>101</v>
      </c>
      <c r="F423" s="24"/>
      <c r="G423" s="42">
        <f>G424</f>
        <v>500</v>
      </c>
      <c r="H423" s="42">
        <f>H424</f>
        <v>500</v>
      </c>
    </row>
    <row r="424" spans="1:8" x14ac:dyDescent="0.2">
      <c r="A424" s="84" t="s">
        <v>473</v>
      </c>
      <c r="B424" s="30" t="s">
        <v>703</v>
      </c>
      <c r="C424" s="30" t="s">
        <v>822</v>
      </c>
      <c r="D424" s="30" t="s">
        <v>216</v>
      </c>
      <c r="E424" s="30" t="s">
        <v>101</v>
      </c>
      <c r="F424" s="30" t="s">
        <v>226</v>
      </c>
      <c r="G424" s="41">
        <f>G425</f>
        <v>500</v>
      </c>
      <c r="H424" s="41">
        <f>H425</f>
        <v>500</v>
      </c>
    </row>
    <row r="425" spans="1:8" ht="24" x14ac:dyDescent="0.2">
      <c r="A425" s="84" t="s">
        <v>227</v>
      </c>
      <c r="B425" s="30" t="s">
        <v>703</v>
      </c>
      <c r="C425" s="30" t="s">
        <v>822</v>
      </c>
      <c r="D425" s="30" t="s">
        <v>216</v>
      </c>
      <c r="E425" s="30" t="s">
        <v>101</v>
      </c>
      <c r="F425" s="30" t="s">
        <v>228</v>
      </c>
      <c r="G425" s="41">
        <v>500</v>
      </c>
      <c r="H425" s="41">
        <v>500</v>
      </c>
    </row>
    <row r="426" spans="1:8" ht="24" x14ac:dyDescent="0.2">
      <c r="A426" s="80" t="s">
        <v>539</v>
      </c>
      <c r="B426" s="24" t="s">
        <v>703</v>
      </c>
      <c r="C426" s="24" t="s">
        <v>822</v>
      </c>
      <c r="D426" s="24" t="s">
        <v>216</v>
      </c>
      <c r="E426" s="24" t="s">
        <v>102</v>
      </c>
      <c r="F426" s="24"/>
      <c r="G426" s="117">
        <f>G427</f>
        <v>500</v>
      </c>
      <c r="H426" s="117">
        <f>H427</f>
        <v>500</v>
      </c>
    </row>
    <row r="427" spans="1:8" x14ac:dyDescent="0.2">
      <c r="A427" s="84" t="s">
        <v>473</v>
      </c>
      <c r="B427" s="30" t="s">
        <v>703</v>
      </c>
      <c r="C427" s="30" t="s">
        <v>822</v>
      </c>
      <c r="D427" s="30" t="s">
        <v>216</v>
      </c>
      <c r="E427" s="30" t="s">
        <v>102</v>
      </c>
      <c r="F427" s="30" t="s">
        <v>226</v>
      </c>
      <c r="G427" s="118">
        <f>G428</f>
        <v>500</v>
      </c>
      <c r="H427" s="118">
        <f>H428</f>
        <v>500</v>
      </c>
    </row>
    <row r="428" spans="1:8" ht="24" x14ac:dyDescent="0.2">
      <c r="A428" s="84" t="s">
        <v>227</v>
      </c>
      <c r="B428" s="30" t="s">
        <v>703</v>
      </c>
      <c r="C428" s="30" t="s">
        <v>822</v>
      </c>
      <c r="D428" s="30" t="s">
        <v>216</v>
      </c>
      <c r="E428" s="30" t="s">
        <v>102</v>
      </c>
      <c r="F428" s="30" t="s">
        <v>228</v>
      </c>
      <c r="G428" s="118">
        <v>500</v>
      </c>
      <c r="H428" s="118">
        <v>500</v>
      </c>
    </row>
    <row r="429" spans="1:8" ht="24" x14ac:dyDescent="0.2">
      <c r="A429" s="80" t="s">
        <v>538</v>
      </c>
      <c r="B429" s="24" t="s">
        <v>703</v>
      </c>
      <c r="C429" s="24" t="s">
        <v>822</v>
      </c>
      <c r="D429" s="24" t="s">
        <v>216</v>
      </c>
      <c r="E429" s="24" t="s">
        <v>103</v>
      </c>
      <c r="F429" s="24"/>
      <c r="G429" s="42">
        <f>G430</f>
        <v>300</v>
      </c>
      <c r="H429" s="42">
        <f>H430</f>
        <v>300</v>
      </c>
    </row>
    <row r="430" spans="1:8" x14ac:dyDescent="0.2">
      <c r="A430" s="84" t="s">
        <v>473</v>
      </c>
      <c r="B430" s="30" t="s">
        <v>703</v>
      </c>
      <c r="C430" s="30" t="s">
        <v>822</v>
      </c>
      <c r="D430" s="30" t="s">
        <v>216</v>
      </c>
      <c r="E430" s="30" t="s">
        <v>103</v>
      </c>
      <c r="F430" s="30" t="s">
        <v>226</v>
      </c>
      <c r="G430" s="41">
        <f>G431</f>
        <v>300</v>
      </c>
      <c r="H430" s="41">
        <f>H431</f>
        <v>300</v>
      </c>
    </row>
    <row r="431" spans="1:8" ht="24" x14ac:dyDescent="0.2">
      <c r="A431" s="84" t="s">
        <v>227</v>
      </c>
      <c r="B431" s="30" t="s">
        <v>703</v>
      </c>
      <c r="C431" s="30" t="s">
        <v>822</v>
      </c>
      <c r="D431" s="30" t="s">
        <v>216</v>
      </c>
      <c r="E431" s="30" t="s">
        <v>103</v>
      </c>
      <c r="F431" s="30" t="s">
        <v>228</v>
      </c>
      <c r="G431" s="41">
        <v>300</v>
      </c>
      <c r="H431" s="41">
        <v>300</v>
      </c>
    </row>
    <row r="432" spans="1:8" ht="27" x14ac:dyDescent="0.2">
      <c r="A432" s="86" t="s">
        <v>440</v>
      </c>
      <c r="B432" s="53">
        <v>603</v>
      </c>
      <c r="C432" s="53" t="s">
        <v>822</v>
      </c>
      <c r="D432" s="53" t="s">
        <v>216</v>
      </c>
      <c r="E432" s="53" t="s">
        <v>442</v>
      </c>
      <c r="F432" s="53"/>
      <c r="G432" s="57">
        <f>G433</f>
        <v>4163.8</v>
      </c>
      <c r="H432" s="57">
        <f>H433</f>
        <v>4163.8</v>
      </c>
    </row>
    <row r="433" spans="1:8" ht="24" x14ac:dyDescent="0.2">
      <c r="A433" s="80" t="s">
        <v>441</v>
      </c>
      <c r="B433" s="24">
        <v>603</v>
      </c>
      <c r="C433" s="24" t="s">
        <v>822</v>
      </c>
      <c r="D433" s="24" t="s">
        <v>216</v>
      </c>
      <c r="E433" s="24" t="s">
        <v>442</v>
      </c>
      <c r="F433" s="24"/>
      <c r="G433" s="42">
        <f>G434</f>
        <v>4163.8</v>
      </c>
      <c r="H433" s="42">
        <f>H434</f>
        <v>4163.8</v>
      </c>
    </row>
    <row r="434" spans="1:8" ht="36" x14ac:dyDescent="0.2">
      <c r="A434" s="83" t="s">
        <v>704</v>
      </c>
      <c r="B434" s="25">
        <v>603</v>
      </c>
      <c r="C434" s="25" t="s">
        <v>822</v>
      </c>
      <c r="D434" s="25" t="s">
        <v>216</v>
      </c>
      <c r="E434" s="33" t="s">
        <v>442</v>
      </c>
      <c r="F434" s="25"/>
      <c r="G434" s="45">
        <f>G435+G438</f>
        <v>4163.8</v>
      </c>
      <c r="H434" s="45">
        <f>H435+H438</f>
        <v>4163.8</v>
      </c>
    </row>
    <row r="435" spans="1:8" ht="24" x14ac:dyDescent="0.2">
      <c r="A435" s="82" t="s">
        <v>685</v>
      </c>
      <c r="B435" s="24" t="s">
        <v>703</v>
      </c>
      <c r="C435" s="24" t="s">
        <v>822</v>
      </c>
      <c r="D435" s="24" t="s">
        <v>216</v>
      </c>
      <c r="E435" s="24" t="s">
        <v>210</v>
      </c>
      <c r="F435" s="24"/>
      <c r="G435" s="42">
        <f>G436</f>
        <v>3775</v>
      </c>
      <c r="H435" s="42">
        <f>H436</f>
        <v>3775</v>
      </c>
    </row>
    <row r="436" spans="1:8" ht="36" x14ac:dyDescent="0.2">
      <c r="A436" s="84" t="s">
        <v>217</v>
      </c>
      <c r="B436" s="30" t="s">
        <v>703</v>
      </c>
      <c r="C436" s="30" t="s">
        <v>822</v>
      </c>
      <c r="D436" s="30" t="s">
        <v>216</v>
      </c>
      <c r="E436" s="30" t="s">
        <v>210</v>
      </c>
      <c r="F436" s="30" t="s">
        <v>218</v>
      </c>
      <c r="G436" s="41">
        <f>G437</f>
        <v>3775</v>
      </c>
      <c r="H436" s="41">
        <f>H437</f>
        <v>3775</v>
      </c>
    </row>
    <row r="437" spans="1:8" x14ac:dyDescent="0.2">
      <c r="A437" s="84" t="s">
        <v>219</v>
      </c>
      <c r="B437" s="30" t="s">
        <v>703</v>
      </c>
      <c r="C437" s="30" t="s">
        <v>822</v>
      </c>
      <c r="D437" s="30" t="s">
        <v>216</v>
      </c>
      <c r="E437" s="30" t="s">
        <v>210</v>
      </c>
      <c r="F437" s="30" t="s">
        <v>224</v>
      </c>
      <c r="G437" s="41">
        <f>2900+875</f>
        <v>3775</v>
      </c>
      <c r="H437" s="41">
        <f>2900+875</f>
        <v>3775</v>
      </c>
    </row>
    <row r="438" spans="1:8" x14ac:dyDescent="0.2">
      <c r="A438" s="80" t="s">
        <v>225</v>
      </c>
      <c r="B438" s="24" t="s">
        <v>703</v>
      </c>
      <c r="C438" s="24" t="s">
        <v>822</v>
      </c>
      <c r="D438" s="24" t="s">
        <v>216</v>
      </c>
      <c r="E438" s="24" t="s">
        <v>211</v>
      </c>
      <c r="F438" s="24"/>
      <c r="G438" s="42">
        <f>G439+G441</f>
        <v>388.8</v>
      </c>
      <c r="H438" s="42">
        <f>H439+H441</f>
        <v>388.8</v>
      </c>
    </row>
    <row r="439" spans="1:8" x14ac:dyDescent="0.2">
      <c r="A439" s="84" t="s">
        <v>473</v>
      </c>
      <c r="B439" s="30" t="s">
        <v>703</v>
      </c>
      <c r="C439" s="30" t="s">
        <v>822</v>
      </c>
      <c r="D439" s="30" t="s">
        <v>216</v>
      </c>
      <c r="E439" s="30" t="s">
        <v>211</v>
      </c>
      <c r="F439" s="30" t="s">
        <v>226</v>
      </c>
      <c r="G439" s="41">
        <f>G440</f>
        <v>248.8</v>
      </c>
      <c r="H439" s="41">
        <f>H440</f>
        <v>248.8</v>
      </c>
    </row>
    <row r="440" spans="1:8" ht="24" x14ac:dyDescent="0.2">
      <c r="A440" s="84" t="s">
        <v>227</v>
      </c>
      <c r="B440" s="30" t="s">
        <v>703</v>
      </c>
      <c r="C440" s="30" t="s">
        <v>822</v>
      </c>
      <c r="D440" s="30" t="s">
        <v>216</v>
      </c>
      <c r="E440" s="30" t="s">
        <v>211</v>
      </c>
      <c r="F440" s="30" t="s">
        <v>228</v>
      </c>
      <c r="G440" s="41">
        <v>248.8</v>
      </c>
      <c r="H440" s="41">
        <v>248.8</v>
      </c>
    </row>
    <row r="441" spans="1:8" x14ac:dyDescent="0.2">
      <c r="A441" s="84" t="s">
        <v>229</v>
      </c>
      <c r="B441" s="30" t="s">
        <v>703</v>
      </c>
      <c r="C441" s="30" t="s">
        <v>822</v>
      </c>
      <c r="D441" s="30" t="s">
        <v>216</v>
      </c>
      <c r="E441" s="30" t="s">
        <v>211</v>
      </c>
      <c r="F441" s="30" t="s">
        <v>230</v>
      </c>
      <c r="G441" s="41">
        <f>G442</f>
        <v>140</v>
      </c>
      <c r="H441" s="41">
        <f>H442</f>
        <v>140</v>
      </c>
    </row>
    <row r="442" spans="1:8" x14ac:dyDescent="0.2">
      <c r="A442" s="84" t="s">
        <v>106</v>
      </c>
      <c r="B442" s="30" t="s">
        <v>703</v>
      </c>
      <c r="C442" s="30" t="s">
        <v>822</v>
      </c>
      <c r="D442" s="30" t="s">
        <v>216</v>
      </c>
      <c r="E442" s="30" t="s">
        <v>211</v>
      </c>
      <c r="F442" s="30" t="s">
        <v>231</v>
      </c>
      <c r="G442" s="41">
        <v>140</v>
      </c>
      <c r="H442" s="41">
        <v>140</v>
      </c>
    </row>
    <row r="443" spans="1:8" ht="31.5" x14ac:dyDescent="0.2">
      <c r="A443" s="79" t="s">
        <v>297</v>
      </c>
      <c r="B443" s="46" t="s">
        <v>291</v>
      </c>
      <c r="C443" s="47"/>
      <c r="D443" s="47"/>
      <c r="E443" s="47"/>
      <c r="F443" s="47"/>
      <c r="G443" s="102">
        <f>G454+G444</f>
        <v>285981.40000000002</v>
      </c>
      <c r="H443" s="102">
        <f>H454+H444</f>
        <v>284946</v>
      </c>
    </row>
    <row r="444" spans="1:8" x14ac:dyDescent="0.2">
      <c r="A444" s="80" t="s">
        <v>655</v>
      </c>
      <c r="B444" s="24" t="s">
        <v>291</v>
      </c>
      <c r="C444" s="24" t="s">
        <v>216</v>
      </c>
      <c r="D444" s="24" t="s">
        <v>215</v>
      </c>
      <c r="E444" s="24"/>
      <c r="F444" s="24"/>
      <c r="G444" s="42">
        <f t="shared" ref="G444:H446" si="25">G445</f>
        <v>6000</v>
      </c>
      <c r="H444" s="42">
        <f t="shared" si="25"/>
        <v>6000</v>
      </c>
    </row>
    <row r="445" spans="1:8" x14ac:dyDescent="0.2">
      <c r="A445" s="80" t="s">
        <v>665</v>
      </c>
      <c r="B445" s="24" t="s">
        <v>291</v>
      </c>
      <c r="C445" s="24" t="s">
        <v>216</v>
      </c>
      <c r="D445" s="24" t="s">
        <v>824</v>
      </c>
      <c r="E445" s="24"/>
      <c r="F445" s="24"/>
      <c r="G445" s="42">
        <f t="shared" si="25"/>
        <v>6000</v>
      </c>
      <c r="H445" s="42">
        <f t="shared" si="25"/>
        <v>6000</v>
      </c>
    </row>
    <row r="446" spans="1:8" ht="27" x14ac:dyDescent="0.2">
      <c r="A446" s="86" t="s">
        <v>439</v>
      </c>
      <c r="B446" s="53" t="s">
        <v>291</v>
      </c>
      <c r="C446" s="53" t="s">
        <v>216</v>
      </c>
      <c r="D446" s="53" t="s">
        <v>824</v>
      </c>
      <c r="E446" s="93" t="s">
        <v>425</v>
      </c>
      <c r="F446" s="53"/>
      <c r="G446" s="57">
        <f t="shared" si="25"/>
        <v>6000</v>
      </c>
      <c r="H446" s="57">
        <f t="shared" si="25"/>
        <v>6000</v>
      </c>
    </row>
    <row r="447" spans="1:8" x14ac:dyDescent="0.2">
      <c r="A447" s="80" t="s">
        <v>430</v>
      </c>
      <c r="B447" s="24" t="s">
        <v>291</v>
      </c>
      <c r="C447" s="24" t="s">
        <v>216</v>
      </c>
      <c r="D447" s="24" t="s">
        <v>824</v>
      </c>
      <c r="E447" s="24" t="s">
        <v>63</v>
      </c>
      <c r="F447" s="24"/>
      <c r="G447" s="42">
        <f>G448+G450+G452</f>
        <v>6000</v>
      </c>
      <c r="H447" s="42">
        <f>H448+H450+H452</f>
        <v>6000</v>
      </c>
    </row>
    <row r="448" spans="1:8" ht="36" x14ac:dyDescent="0.2">
      <c r="A448" s="84" t="s">
        <v>217</v>
      </c>
      <c r="B448" s="30" t="s">
        <v>291</v>
      </c>
      <c r="C448" s="30" t="s">
        <v>216</v>
      </c>
      <c r="D448" s="30" t="s">
        <v>824</v>
      </c>
      <c r="E448" s="30" t="s">
        <v>63</v>
      </c>
      <c r="F448" s="30" t="s">
        <v>218</v>
      </c>
      <c r="G448" s="41">
        <f>G449</f>
        <v>5041</v>
      </c>
      <c r="H448" s="41">
        <f>H449</f>
        <v>5041</v>
      </c>
    </row>
    <row r="449" spans="1:8" x14ac:dyDescent="0.2">
      <c r="A449" s="84" t="s">
        <v>820</v>
      </c>
      <c r="B449" s="30" t="s">
        <v>291</v>
      </c>
      <c r="C449" s="30" t="s">
        <v>216</v>
      </c>
      <c r="D449" s="30" t="s">
        <v>824</v>
      </c>
      <c r="E449" s="30" t="s">
        <v>63</v>
      </c>
      <c r="F449" s="30" t="s">
        <v>821</v>
      </c>
      <c r="G449" s="41">
        <f>3872+1169</f>
        <v>5041</v>
      </c>
      <c r="H449" s="41">
        <f>3872+1169</f>
        <v>5041</v>
      </c>
    </row>
    <row r="450" spans="1:8" x14ac:dyDescent="0.2">
      <c r="A450" s="84" t="s">
        <v>473</v>
      </c>
      <c r="B450" s="30" t="s">
        <v>291</v>
      </c>
      <c r="C450" s="30" t="s">
        <v>216</v>
      </c>
      <c r="D450" s="30" t="s">
        <v>824</v>
      </c>
      <c r="E450" s="30" t="s">
        <v>63</v>
      </c>
      <c r="F450" s="30" t="s">
        <v>226</v>
      </c>
      <c r="G450" s="41">
        <f>G451</f>
        <v>934</v>
      </c>
      <c r="H450" s="41">
        <f>H451</f>
        <v>934</v>
      </c>
    </row>
    <row r="451" spans="1:8" ht="24" x14ac:dyDescent="0.2">
      <c r="A451" s="84" t="s">
        <v>227</v>
      </c>
      <c r="B451" s="30" t="s">
        <v>291</v>
      </c>
      <c r="C451" s="30" t="s">
        <v>216</v>
      </c>
      <c r="D451" s="30" t="s">
        <v>824</v>
      </c>
      <c r="E451" s="30" t="s">
        <v>63</v>
      </c>
      <c r="F451" s="30" t="s">
        <v>228</v>
      </c>
      <c r="G451" s="41">
        <v>934</v>
      </c>
      <c r="H451" s="41">
        <v>934</v>
      </c>
    </row>
    <row r="452" spans="1:8" x14ac:dyDescent="0.2">
      <c r="A452" s="84" t="s">
        <v>229</v>
      </c>
      <c r="B452" s="30" t="s">
        <v>291</v>
      </c>
      <c r="C452" s="30" t="s">
        <v>216</v>
      </c>
      <c r="D452" s="30" t="s">
        <v>824</v>
      </c>
      <c r="E452" s="30" t="s">
        <v>63</v>
      </c>
      <c r="F452" s="30" t="s">
        <v>230</v>
      </c>
      <c r="G452" s="41">
        <f>G453</f>
        <v>25</v>
      </c>
      <c r="H452" s="41">
        <f>H453</f>
        <v>25</v>
      </c>
    </row>
    <row r="453" spans="1:8" x14ac:dyDescent="0.2">
      <c r="A453" s="84" t="s">
        <v>311</v>
      </c>
      <c r="B453" s="30" t="s">
        <v>291</v>
      </c>
      <c r="C453" s="30" t="s">
        <v>216</v>
      </c>
      <c r="D453" s="30" t="s">
        <v>824</v>
      </c>
      <c r="E453" s="30" t="s">
        <v>63</v>
      </c>
      <c r="F453" s="30" t="s">
        <v>231</v>
      </c>
      <c r="G453" s="41">
        <v>25</v>
      </c>
      <c r="H453" s="41">
        <v>25</v>
      </c>
    </row>
    <row r="454" spans="1:8" x14ac:dyDescent="0.2">
      <c r="A454" s="80" t="s">
        <v>667</v>
      </c>
      <c r="B454" s="24" t="s">
        <v>291</v>
      </c>
      <c r="C454" s="24" t="s">
        <v>731</v>
      </c>
      <c r="D454" s="24" t="s">
        <v>215</v>
      </c>
      <c r="E454" s="24"/>
      <c r="F454" s="24"/>
      <c r="G454" s="42">
        <f>G455+G491</f>
        <v>279981.40000000002</v>
      </c>
      <c r="H454" s="42">
        <f>H455+H491</f>
        <v>278946</v>
      </c>
    </row>
    <row r="455" spans="1:8" x14ac:dyDescent="0.2">
      <c r="A455" s="80" t="s">
        <v>671</v>
      </c>
      <c r="B455" s="24" t="s">
        <v>291</v>
      </c>
      <c r="C455" s="24" t="s">
        <v>731</v>
      </c>
      <c r="D455" s="24" t="s">
        <v>817</v>
      </c>
      <c r="E455" s="24"/>
      <c r="F455" s="24"/>
      <c r="G455" s="42">
        <f>G456+G484</f>
        <v>273635.40000000002</v>
      </c>
      <c r="H455" s="42">
        <f>H456+H484</f>
        <v>272600</v>
      </c>
    </row>
    <row r="456" spans="1:8" ht="27" x14ac:dyDescent="0.2">
      <c r="A456" s="86" t="s">
        <v>439</v>
      </c>
      <c r="B456" s="53" t="s">
        <v>291</v>
      </c>
      <c r="C456" s="53" t="s">
        <v>731</v>
      </c>
      <c r="D456" s="53" t="s">
        <v>817</v>
      </c>
      <c r="E456" s="93" t="s">
        <v>425</v>
      </c>
      <c r="F456" s="53"/>
      <c r="G456" s="57">
        <f>G457+G460+G463+G466+G469+G472+G475+G478+G481</f>
        <v>266635.40000000002</v>
      </c>
      <c r="H456" s="57">
        <f>H457+H460+H463+H466+H469+H472+H475+H478+H481</f>
        <v>265600</v>
      </c>
    </row>
    <row r="457" spans="1:8" ht="24" x14ac:dyDescent="0.2">
      <c r="A457" s="75" t="s">
        <v>10</v>
      </c>
      <c r="B457" s="24" t="s">
        <v>291</v>
      </c>
      <c r="C457" s="24" t="s">
        <v>731</v>
      </c>
      <c r="D457" s="24" t="s">
        <v>817</v>
      </c>
      <c r="E457" s="24" t="s">
        <v>55</v>
      </c>
      <c r="F457" s="24"/>
      <c r="G457" s="42">
        <f>G458</f>
        <v>5000</v>
      </c>
      <c r="H457" s="42">
        <f>H458</f>
        <v>5000</v>
      </c>
    </row>
    <row r="458" spans="1:8" x14ac:dyDescent="0.2">
      <c r="A458" s="84" t="s">
        <v>473</v>
      </c>
      <c r="B458" s="30" t="s">
        <v>291</v>
      </c>
      <c r="C458" s="30" t="s">
        <v>731</v>
      </c>
      <c r="D458" s="30" t="s">
        <v>817</v>
      </c>
      <c r="E458" s="30" t="s">
        <v>55</v>
      </c>
      <c r="F458" s="30" t="s">
        <v>226</v>
      </c>
      <c r="G458" s="41">
        <f>G459</f>
        <v>5000</v>
      </c>
      <c r="H458" s="41">
        <f>H459</f>
        <v>5000</v>
      </c>
    </row>
    <row r="459" spans="1:8" ht="24" x14ac:dyDescent="0.2">
      <c r="A459" s="84" t="s">
        <v>227</v>
      </c>
      <c r="B459" s="30" t="s">
        <v>291</v>
      </c>
      <c r="C459" s="30" t="s">
        <v>731</v>
      </c>
      <c r="D459" s="30" t="s">
        <v>817</v>
      </c>
      <c r="E459" s="30" t="s">
        <v>55</v>
      </c>
      <c r="F459" s="30" t="s">
        <v>228</v>
      </c>
      <c r="G459" s="41">
        <f>17500-12500</f>
        <v>5000</v>
      </c>
      <c r="H459" s="41">
        <f>17500-12500</f>
        <v>5000</v>
      </c>
    </row>
    <row r="460" spans="1:8" x14ac:dyDescent="0.2">
      <c r="A460" s="75" t="s">
        <v>557</v>
      </c>
      <c r="B460" s="24" t="s">
        <v>291</v>
      </c>
      <c r="C460" s="24" t="s">
        <v>731</v>
      </c>
      <c r="D460" s="24" t="s">
        <v>817</v>
      </c>
      <c r="E460" s="24" t="s">
        <v>56</v>
      </c>
      <c r="F460" s="24"/>
      <c r="G460" s="42">
        <f>G461</f>
        <v>1000</v>
      </c>
      <c r="H460" s="42">
        <f>H461</f>
        <v>1000</v>
      </c>
    </row>
    <row r="461" spans="1:8" x14ac:dyDescent="0.2">
      <c r="A461" s="84" t="s">
        <v>473</v>
      </c>
      <c r="B461" s="30" t="s">
        <v>291</v>
      </c>
      <c r="C461" s="30" t="s">
        <v>731</v>
      </c>
      <c r="D461" s="30" t="s">
        <v>817</v>
      </c>
      <c r="E461" s="30" t="s">
        <v>56</v>
      </c>
      <c r="F461" s="30" t="s">
        <v>226</v>
      </c>
      <c r="G461" s="41">
        <f>G462</f>
        <v>1000</v>
      </c>
      <c r="H461" s="41">
        <f>H462</f>
        <v>1000</v>
      </c>
    </row>
    <row r="462" spans="1:8" ht="24" x14ac:dyDescent="0.2">
      <c r="A462" s="84" t="s">
        <v>227</v>
      </c>
      <c r="B462" s="30" t="s">
        <v>291</v>
      </c>
      <c r="C462" s="30" t="s">
        <v>731</v>
      </c>
      <c r="D462" s="30" t="s">
        <v>817</v>
      </c>
      <c r="E462" s="30" t="s">
        <v>56</v>
      </c>
      <c r="F462" s="30" t="s">
        <v>228</v>
      </c>
      <c r="G462" s="41">
        <f>2000-1000</f>
        <v>1000</v>
      </c>
      <c r="H462" s="41">
        <f>2000-1000</f>
        <v>1000</v>
      </c>
    </row>
    <row r="463" spans="1:8" x14ac:dyDescent="0.2">
      <c r="A463" s="80" t="s">
        <v>558</v>
      </c>
      <c r="B463" s="24" t="s">
        <v>291</v>
      </c>
      <c r="C463" s="24" t="s">
        <v>731</v>
      </c>
      <c r="D463" s="24" t="s">
        <v>817</v>
      </c>
      <c r="E463" s="24" t="s">
        <v>57</v>
      </c>
      <c r="F463" s="24"/>
      <c r="G463" s="42">
        <f>G464</f>
        <v>1000</v>
      </c>
      <c r="H463" s="42">
        <f>H464</f>
        <v>1000</v>
      </c>
    </row>
    <row r="464" spans="1:8" x14ac:dyDescent="0.2">
      <c r="A464" s="84" t="s">
        <v>473</v>
      </c>
      <c r="B464" s="30" t="s">
        <v>291</v>
      </c>
      <c r="C464" s="30" t="s">
        <v>731</v>
      </c>
      <c r="D464" s="30" t="s">
        <v>817</v>
      </c>
      <c r="E464" s="30" t="s">
        <v>57</v>
      </c>
      <c r="F464" s="30" t="s">
        <v>226</v>
      </c>
      <c r="G464" s="41">
        <f>G465</f>
        <v>1000</v>
      </c>
      <c r="H464" s="41">
        <f>H465</f>
        <v>1000</v>
      </c>
    </row>
    <row r="465" spans="1:8" ht="24" x14ac:dyDescent="0.2">
      <c r="A465" s="84" t="s">
        <v>227</v>
      </c>
      <c r="B465" s="30" t="s">
        <v>291</v>
      </c>
      <c r="C465" s="30" t="s">
        <v>731</v>
      </c>
      <c r="D465" s="30" t="s">
        <v>817</v>
      </c>
      <c r="E465" s="30" t="s">
        <v>57</v>
      </c>
      <c r="F465" s="30" t="s">
        <v>228</v>
      </c>
      <c r="G465" s="41">
        <f>2000-1000</f>
        <v>1000</v>
      </c>
      <c r="H465" s="41">
        <f>2000-1000</f>
        <v>1000</v>
      </c>
    </row>
    <row r="466" spans="1:8" ht="24" x14ac:dyDescent="0.2">
      <c r="A466" s="75" t="s">
        <v>535</v>
      </c>
      <c r="B466" s="24" t="s">
        <v>291</v>
      </c>
      <c r="C466" s="24" t="s">
        <v>731</v>
      </c>
      <c r="D466" s="24" t="s">
        <v>817</v>
      </c>
      <c r="E466" s="24" t="s">
        <v>58</v>
      </c>
      <c r="F466" s="24"/>
      <c r="G466" s="42">
        <f>G467</f>
        <v>2500</v>
      </c>
      <c r="H466" s="42">
        <f>H467</f>
        <v>2500</v>
      </c>
    </row>
    <row r="467" spans="1:8" x14ac:dyDescent="0.2">
      <c r="A467" s="84" t="s">
        <v>473</v>
      </c>
      <c r="B467" s="30" t="s">
        <v>291</v>
      </c>
      <c r="C467" s="30" t="s">
        <v>731</v>
      </c>
      <c r="D467" s="30" t="s">
        <v>817</v>
      </c>
      <c r="E467" s="30" t="s">
        <v>58</v>
      </c>
      <c r="F467" s="30" t="s">
        <v>226</v>
      </c>
      <c r="G467" s="41">
        <f>G468</f>
        <v>2500</v>
      </c>
      <c r="H467" s="41">
        <f>H468</f>
        <v>2500</v>
      </c>
    </row>
    <row r="468" spans="1:8" ht="24" x14ac:dyDescent="0.2">
      <c r="A468" s="84" t="s">
        <v>227</v>
      </c>
      <c r="B468" s="30" t="s">
        <v>291</v>
      </c>
      <c r="C468" s="30" t="s">
        <v>731</v>
      </c>
      <c r="D468" s="30" t="s">
        <v>817</v>
      </c>
      <c r="E468" s="30" t="s">
        <v>58</v>
      </c>
      <c r="F468" s="30" t="s">
        <v>228</v>
      </c>
      <c r="G468" s="41">
        <f>4500-2000</f>
        <v>2500</v>
      </c>
      <c r="H468" s="41">
        <f>4500-2000</f>
        <v>2500</v>
      </c>
    </row>
    <row r="469" spans="1:8" ht="24" x14ac:dyDescent="0.2">
      <c r="A469" s="76" t="s">
        <v>536</v>
      </c>
      <c r="B469" s="24" t="s">
        <v>291</v>
      </c>
      <c r="C469" s="24" t="s">
        <v>731</v>
      </c>
      <c r="D469" s="24" t="s">
        <v>817</v>
      </c>
      <c r="E469" s="37" t="s">
        <v>59</v>
      </c>
      <c r="F469" s="37"/>
      <c r="G469" s="42">
        <f>G470</f>
        <v>1000</v>
      </c>
      <c r="H469" s="42">
        <f>H470</f>
        <v>1000</v>
      </c>
    </row>
    <row r="470" spans="1:8" x14ac:dyDescent="0.2">
      <c r="A470" s="84" t="s">
        <v>322</v>
      </c>
      <c r="B470" s="30" t="s">
        <v>291</v>
      </c>
      <c r="C470" s="30" t="s">
        <v>731</v>
      </c>
      <c r="D470" s="30" t="s">
        <v>817</v>
      </c>
      <c r="E470" s="31" t="s">
        <v>59</v>
      </c>
      <c r="F470" s="30" t="s">
        <v>226</v>
      </c>
      <c r="G470" s="41">
        <f>G471</f>
        <v>1000</v>
      </c>
      <c r="H470" s="41">
        <f>H471</f>
        <v>1000</v>
      </c>
    </row>
    <row r="471" spans="1:8" ht="24" x14ac:dyDescent="0.2">
      <c r="A471" s="84" t="s">
        <v>227</v>
      </c>
      <c r="B471" s="30" t="s">
        <v>291</v>
      </c>
      <c r="C471" s="30" t="s">
        <v>731</v>
      </c>
      <c r="D471" s="30" t="s">
        <v>817</v>
      </c>
      <c r="E471" s="31" t="s">
        <v>59</v>
      </c>
      <c r="F471" s="30" t="s">
        <v>228</v>
      </c>
      <c r="G471" s="41">
        <v>1000</v>
      </c>
      <c r="H471" s="41">
        <v>1000</v>
      </c>
    </row>
    <row r="472" spans="1:8" x14ac:dyDescent="0.2">
      <c r="A472" s="87" t="s">
        <v>409</v>
      </c>
      <c r="B472" s="24" t="s">
        <v>291</v>
      </c>
      <c r="C472" s="24" t="s">
        <v>731</v>
      </c>
      <c r="D472" s="24" t="s">
        <v>817</v>
      </c>
      <c r="E472" s="24" t="s">
        <v>60</v>
      </c>
      <c r="F472" s="24"/>
      <c r="G472" s="42">
        <f>G473</f>
        <v>50000</v>
      </c>
      <c r="H472" s="42">
        <f>H473</f>
        <v>50000</v>
      </c>
    </row>
    <row r="473" spans="1:8" x14ac:dyDescent="0.2">
      <c r="A473" s="84" t="s">
        <v>473</v>
      </c>
      <c r="B473" s="30" t="s">
        <v>291</v>
      </c>
      <c r="C473" s="30" t="s">
        <v>731</v>
      </c>
      <c r="D473" s="30" t="s">
        <v>817</v>
      </c>
      <c r="E473" s="30" t="s">
        <v>60</v>
      </c>
      <c r="F473" s="30" t="s">
        <v>226</v>
      </c>
      <c r="G473" s="41">
        <f>G474</f>
        <v>50000</v>
      </c>
      <c r="H473" s="41">
        <f>H474</f>
        <v>50000</v>
      </c>
    </row>
    <row r="474" spans="1:8" ht="24" x14ac:dyDescent="0.2">
      <c r="A474" s="84" t="s">
        <v>227</v>
      </c>
      <c r="B474" s="30" t="s">
        <v>291</v>
      </c>
      <c r="C474" s="30" t="s">
        <v>731</v>
      </c>
      <c r="D474" s="30" t="s">
        <v>817</v>
      </c>
      <c r="E474" s="30" t="s">
        <v>60</v>
      </c>
      <c r="F474" s="30" t="s">
        <v>228</v>
      </c>
      <c r="G474" s="41">
        <f>70000-20000</f>
        <v>50000</v>
      </c>
      <c r="H474" s="41">
        <f>70000-20000</f>
        <v>50000</v>
      </c>
    </row>
    <row r="475" spans="1:8" ht="24" x14ac:dyDescent="0.2">
      <c r="A475" s="80" t="s">
        <v>543</v>
      </c>
      <c r="B475" s="24" t="s">
        <v>291</v>
      </c>
      <c r="C475" s="24" t="s">
        <v>731</v>
      </c>
      <c r="D475" s="24" t="s">
        <v>817</v>
      </c>
      <c r="E475" s="24" t="s">
        <v>62</v>
      </c>
      <c r="F475" s="24"/>
      <c r="G475" s="42">
        <f>G476</f>
        <v>500</v>
      </c>
      <c r="H475" s="42">
        <f>H476</f>
        <v>500</v>
      </c>
    </row>
    <row r="476" spans="1:8" x14ac:dyDescent="0.2">
      <c r="A476" s="84" t="s">
        <v>473</v>
      </c>
      <c r="B476" s="30" t="s">
        <v>291</v>
      </c>
      <c r="C476" s="30" t="s">
        <v>731</v>
      </c>
      <c r="D476" s="30" t="s">
        <v>817</v>
      </c>
      <c r="E476" s="30" t="s">
        <v>62</v>
      </c>
      <c r="F476" s="30" t="s">
        <v>226</v>
      </c>
      <c r="G476" s="41">
        <f>G477</f>
        <v>500</v>
      </c>
      <c r="H476" s="41">
        <f>H477</f>
        <v>500</v>
      </c>
    </row>
    <row r="477" spans="1:8" ht="24" x14ac:dyDescent="0.2">
      <c r="A477" s="84" t="s">
        <v>227</v>
      </c>
      <c r="B477" s="30" t="s">
        <v>291</v>
      </c>
      <c r="C477" s="30" t="s">
        <v>731</v>
      </c>
      <c r="D477" s="30" t="s">
        <v>817</v>
      </c>
      <c r="E477" s="30" t="s">
        <v>62</v>
      </c>
      <c r="F477" s="30" t="s">
        <v>228</v>
      </c>
      <c r="G477" s="41">
        <v>500</v>
      </c>
      <c r="H477" s="41">
        <v>500</v>
      </c>
    </row>
    <row r="478" spans="1:8" ht="24" x14ac:dyDescent="0.2">
      <c r="A478" s="80" t="s">
        <v>431</v>
      </c>
      <c r="B478" s="24" t="s">
        <v>291</v>
      </c>
      <c r="C478" s="24" t="s">
        <v>731</v>
      </c>
      <c r="D478" s="24" t="s">
        <v>817</v>
      </c>
      <c r="E478" s="24" t="s">
        <v>64</v>
      </c>
      <c r="F478" s="24"/>
      <c r="G478" s="42">
        <f>G479</f>
        <v>161600</v>
      </c>
      <c r="H478" s="42">
        <f>H479</f>
        <v>161600</v>
      </c>
    </row>
    <row r="479" spans="1:8" ht="24" x14ac:dyDescent="0.2">
      <c r="A479" s="84" t="s">
        <v>246</v>
      </c>
      <c r="B479" s="30" t="s">
        <v>291</v>
      </c>
      <c r="C479" s="30" t="s">
        <v>731</v>
      </c>
      <c r="D479" s="30" t="s">
        <v>817</v>
      </c>
      <c r="E479" s="30" t="s">
        <v>64</v>
      </c>
      <c r="F479" s="30" t="s">
        <v>702</v>
      </c>
      <c r="G479" s="41">
        <f>G480</f>
        <v>161600</v>
      </c>
      <c r="H479" s="41">
        <f>H480</f>
        <v>161600</v>
      </c>
    </row>
    <row r="480" spans="1:8" x14ac:dyDescent="0.2">
      <c r="A480" s="84" t="s">
        <v>247</v>
      </c>
      <c r="B480" s="30" t="s">
        <v>291</v>
      </c>
      <c r="C480" s="30" t="s">
        <v>731</v>
      </c>
      <c r="D480" s="30" t="s">
        <v>817</v>
      </c>
      <c r="E480" s="30" t="s">
        <v>64</v>
      </c>
      <c r="F480" s="30" t="s">
        <v>724</v>
      </c>
      <c r="G480" s="41">
        <f>155000+6600</f>
        <v>161600</v>
      </c>
      <c r="H480" s="41">
        <f>155000+6600</f>
        <v>161600</v>
      </c>
    </row>
    <row r="481" spans="1:8" ht="24" x14ac:dyDescent="0.2">
      <c r="A481" s="80" t="s">
        <v>418</v>
      </c>
      <c r="B481" s="24" t="s">
        <v>291</v>
      </c>
      <c r="C481" s="24" t="s">
        <v>731</v>
      </c>
      <c r="D481" s="24" t="s">
        <v>817</v>
      </c>
      <c r="E481" s="24" t="s">
        <v>41</v>
      </c>
      <c r="F481" s="24"/>
      <c r="G481" s="117">
        <f>G482</f>
        <v>44035.4</v>
      </c>
      <c r="H481" s="117">
        <f>H482</f>
        <v>43000</v>
      </c>
    </row>
    <row r="482" spans="1:8" x14ac:dyDescent="0.2">
      <c r="A482" s="84" t="s">
        <v>473</v>
      </c>
      <c r="B482" s="30" t="s">
        <v>291</v>
      </c>
      <c r="C482" s="30" t="s">
        <v>731</v>
      </c>
      <c r="D482" s="30" t="s">
        <v>817</v>
      </c>
      <c r="E482" s="30" t="s">
        <v>41</v>
      </c>
      <c r="F482" s="30" t="s">
        <v>226</v>
      </c>
      <c r="G482" s="118">
        <f>G483</f>
        <v>44035.4</v>
      </c>
      <c r="H482" s="118">
        <f>H483</f>
        <v>43000</v>
      </c>
    </row>
    <row r="483" spans="1:8" ht="24" x14ac:dyDescent="0.2">
      <c r="A483" s="84" t="s">
        <v>227</v>
      </c>
      <c r="B483" s="30" t="s">
        <v>291</v>
      </c>
      <c r="C483" s="30" t="s">
        <v>731</v>
      </c>
      <c r="D483" s="30" t="s">
        <v>817</v>
      </c>
      <c r="E483" s="30" t="s">
        <v>41</v>
      </c>
      <c r="F483" s="30" t="s">
        <v>228</v>
      </c>
      <c r="G483" s="118">
        <f>59000-16000+1035.4</f>
        <v>44035.4</v>
      </c>
      <c r="H483" s="118">
        <f>59000-16000</f>
        <v>43000</v>
      </c>
    </row>
    <row r="484" spans="1:8" ht="40.5" x14ac:dyDescent="0.2">
      <c r="A484" s="86" t="s">
        <v>13</v>
      </c>
      <c r="B484" s="53" t="s">
        <v>291</v>
      </c>
      <c r="C484" s="53" t="s">
        <v>731</v>
      </c>
      <c r="D484" s="53" t="s">
        <v>817</v>
      </c>
      <c r="E484" s="93" t="s">
        <v>14</v>
      </c>
      <c r="F484" s="53"/>
      <c r="G484" s="121">
        <f>G485+G488</f>
        <v>7000</v>
      </c>
      <c r="H484" s="121">
        <f>H485+H488</f>
        <v>7000</v>
      </c>
    </row>
    <row r="485" spans="1:8" ht="24" x14ac:dyDescent="0.2">
      <c r="A485" s="80" t="s">
        <v>167</v>
      </c>
      <c r="B485" s="24" t="s">
        <v>291</v>
      </c>
      <c r="C485" s="24" t="s">
        <v>731</v>
      </c>
      <c r="D485" s="24" t="s">
        <v>817</v>
      </c>
      <c r="E485" s="43" t="s">
        <v>582</v>
      </c>
      <c r="F485" s="24"/>
      <c r="G485" s="117">
        <f>G486</f>
        <v>0</v>
      </c>
      <c r="H485" s="117">
        <f>H486</f>
        <v>0</v>
      </c>
    </row>
    <row r="486" spans="1:8" x14ac:dyDescent="0.2">
      <c r="A486" s="84" t="s">
        <v>473</v>
      </c>
      <c r="B486" s="30" t="s">
        <v>291</v>
      </c>
      <c r="C486" s="30" t="s">
        <v>731</v>
      </c>
      <c r="D486" s="30" t="s">
        <v>817</v>
      </c>
      <c r="E486" s="40" t="s">
        <v>582</v>
      </c>
      <c r="F486" s="30" t="s">
        <v>226</v>
      </c>
      <c r="G486" s="118">
        <f>G487</f>
        <v>0</v>
      </c>
      <c r="H486" s="118">
        <f>H487</f>
        <v>0</v>
      </c>
    </row>
    <row r="487" spans="1:8" ht="24" x14ac:dyDescent="0.2">
      <c r="A487" s="84" t="s">
        <v>227</v>
      </c>
      <c r="B487" s="30" t="s">
        <v>291</v>
      </c>
      <c r="C487" s="30" t="s">
        <v>731</v>
      </c>
      <c r="D487" s="30" t="s">
        <v>817</v>
      </c>
      <c r="E487" s="40" t="s">
        <v>582</v>
      </c>
      <c r="F487" s="30" t="s">
        <v>228</v>
      </c>
      <c r="G487" s="118">
        <f>7000-7000</f>
        <v>0</v>
      </c>
      <c r="H487" s="118">
        <f>7000-7000</f>
        <v>0</v>
      </c>
    </row>
    <row r="488" spans="1:8" ht="24" x14ac:dyDescent="0.2">
      <c r="A488" s="80" t="s">
        <v>167</v>
      </c>
      <c r="B488" s="24" t="s">
        <v>291</v>
      </c>
      <c r="C488" s="24" t="s">
        <v>731</v>
      </c>
      <c r="D488" s="24" t="s">
        <v>817</v>
      </c>
      <c r="E488" s="43" t="s">
        <v>88</v>
      </c>
      <c r="F488" s="24"/>
      <c r="G488" s="117">
        <v>7000</v>
      </c>
      <c r="H488" s="117">
        <v>7000</v>
      </c>
    </row>
    <row r="489" spans="1:8" x14ac:dyDescent="0.2">
      <c r="A489" s="84" t="s">
        <v>473</v>
      </c>
      <c r="B489" s="30" t="s">
        <v>291</v>
      </c>
      <c r="C489" s="30" t="s">
        <v>731</v>
      </c>
      <c r="D489" s="30" t="s">
        <v>817</v>
      </c>
      <c r="E489" s="40" t="s">
        <v>88</v>
      </c>
      <c r="F489" s="30" t="s">
        <v>226</v>
      </c>
      <c r="G489" s="118">
        <v>7000</v>
      </c>
      <c r="H489" s="118">
        <v>7000</v>
      </c>
    </row>
    <row r="490" spans="1:8" ht="24" x14ac:dyDescent="0.2">
      <c r="A490" s="84" t="s">
        <v>227</v>
      </c>
      <c r="B490" s="30" t="s">
        <v>291</v>
      </c>
      <c r="C490" s="30" t="s">
        <v>731</v>
      </c>
      <c r="D490" s="30" t="s">
        <v>817</v>
      </c>
      <c r="E490" s="40" t="s">
        <v>88</v>
      </c>
      <c r="F490" s="30" t="s">
        <v>228</v>
      </c>
      <c r="G490" s="118">
        <v>7000</v>
      </c>
      <c r="H490" s="118">
        <v>7000</v>
      </c>
    </row>
    <row r="491" spans="1:8" x14ac:dyDescent="0.2">
      <c r="A491" s="80" t="s">
        <v>672</v>
      </c>
      <c r="B491" s="24" t="s">
        <v>291</v>
      </c>
      <c r="C491" s="24" t="s">
        <v>731</v>
      </c>
      <c r="D491" s="24" t="s">
        <v>731</v>
      </c>
      <c r="E491" s="24"/>
      <c r="F491" s="24"/>
      <c r="G491" s="42">
        <f t="shared" ref="G491:H493" si="26">G492</f>
        <v>6346</v>
      </c>
      <c r="H491" s="42">
        <f t="shared" si="26"/>
        <v>6346</v>
      </c>
    </row>
    <row r="492" spans="1:8" ht="27" x14ac:dyDescent="0.2">
      <c r="A492" s="86" t="s">
        <v>439</v>
      </c>
      <c r="B492" s="53" t="s">
        <v>291</v>
      </c>
      <c r="C492" s="53" t="s">
        <v>731</v>
      </c>
      <c r="D492" s="53" t="s">
        <v>731</v>
      </c>
      <c r="E492" s="53" t="s">
        <v>425</v>
      </c>
      <c r="F492" s="53"/>
      <c r="G492" s="57">
        <f t="shared" si="26"/>
        <v>6346</v>
      </c>
      <c r="H492" s="57">
        <f t="shared" si="26"/>
        <v>6346</v>
      </c>
    </row>
    <row r="493" spans="1:8" ht="24" x14ac:dyDescent="0.2">
      <c r="A493" s="82" t="s">
        <v>540</v>
      </c>
      <c r="B493" s="24" t="s">
        <v>291</v>
      </c>
      <c r="C493" s="24" t="s">
        <v>731</v>
      </c>
      <c r="D493" s="24" t="s">
        <v>731</v>
      </c>
      <c r="E493" s="24" t="s">
        <v>425</v>
      </c>
      <c r="F493" s="24"/>
      <c r="G493" s="42">
        <f t="shared" si="26"/>
        <v>6346</v>
      </c>
      <c r="H493" s="42">
        <f t="shared" si="26"/>
        <v>6346</v>
      </c>
    </row>
    <row r="494" spans="1:8" ht="36" x14ac:dyDescent="0.2">
      <c r="A494" s="83" t="s">
        <v>704</v>
      </c>
      <c r="B494" s="25" t="s">
        <v>291</v>
      </c>
      <c r="C494" s="25" t="s">
        <v>731</v>
      </c>
      <c r="D494" s="25" t="s">
        <v>731</v>
      </c>
      <c r="E494" s="25" t="s">
        <v>425</v>
      </c>
      <c r="F494" s="25"/>
      <c r="G494" s="45">
        <f>G495+G498</f>
        <v>6346</v>
      </c>
      <c r="H494" s="45">
        <f>H495+H498</f>
        <v>6346</v>
      </c>
    </row>
    <row r="495" spans="1:8" ht="24" x14ac:dyDescent="0.2">
      <c r="A495" s="82" t="s">
        <v>685</v>
      </c>
      <c r="B495" s="24" t="s">
        <v>291</v>
      </c>
      <c r="C495" s="24" t="s">
        <v>731</v>
      </c>
      <c r="D495" s="24" t="s">
        <v>731</v>
      </c>
      <c r="E495" s="24" t="s">
        <v>541</v>
      </c>
      <c r="F495" s="24"/>
      <c r="G495" s="42">
        <f>G496</f>
        <v>6153</v>
      </c>
      <c r="H495" s="42">
        <f>H496</f>
        <v>6153</v>
      </c>
    </row>
    <row r="496" spans="1:8" ht="36" x14ac:dyDescent="0.2">
      <c r="A496" s="84" t="s">
        <v>217</v>
      </c>
      <c r="B496" s="30" t="s">
        <v>291</v>
      </c>
      <c r="C496" s="30" t="s">
        <v>731</v>
      </c>
      <c r="D496" s="30" t="s">
        <v>731</v>
      </c>
      <c r="E496" s="30" t="s">
        <v>541</v>
      </c>
      <c r="F496" s="30" t="s">
        <v>218</v>
      </c>
      <c r="G496" s="41">
        <f>G497</f>
        <v>6153</v>
      </c>
      <c r="H496" s="41">
        <f>H497</f>
        <v>6153</v>
      </c>
    </row>
    <row r="497" spans="1:8" x14ac:dyDescent="0.2">
      <c r="A497" s="84" t="s">
        <v>219</v>
      </c>
      <c r="B497" s="30" t="s">
        <v>291</v>
      </c>
      <c r="C497" s="30" t="s">
        <v>731</v>
      </c>
      <c r="D497" s="30" t="s">
        <v>731</v>
      </c>
      <c r="E497" s="30" t="s">
        <v>541</v>
      </c>
      <c r="F497" s="30" t="s">
        <v>224</v>
      </c>
      <c r="G497" s="41">
        <f>4726+1427</f>
        <v>6153</v>
      </c>
      <c r="H497" s="41">
        <f>4726+1427</f>
        <v>6153</v>
      </c>
    </row>
    <row r="498" spans="1:8" x14ac:dyDescent="0.2">
      <c r="A498" s="80" t="s">
        <v>225</v>
      </c>
      <c r="B498" s="24" t="s">
        <v>291</v>
      </c>
      <c r="C498" s="24" t="s">
        <v>731</v>
      </c>
      <c r="D498" s="24" t="s">
        <v>731</v>
      </c>
      <c r="E498" s="24" t="s">
        <v>542</v>
      </c>
      <c r="F498" s="24"/>
      <c r="G498" s="42">
        <f>G499+G501</f>
        <v>193</v>
      </c>
      <c r="H498" s="42">
        <f>H499+H501</f>
        <v>193</v>
      </c>
    </row>
    <row r="499" spans="1:8" x14ac:dyDescent="0.2">
      <c r="A499" s="84" t="s">
        <v>473</v>
      </c>
      <c r="B499" s="30" t="s">
        <v>291</v>
      </c>
      <c r="C499" s="30" t="s">
        <v>731</v>
      </c>
      <c r="D499" s="30" t="s">
        <v>731</v>
      </c>
      <c r="E499" s="30" t="s">
        <v>542</v>
      </c>
      <c r="F499" s="30" t="s">
        <v>226</v>
      </c>
      <c r="G499" s="41">
        <f>G500</f>
        <v>190</v>
      </c>
      <c r="H499" s="41">
        <f>H500</f>
        <v>190</v>
      </c>
    </row>
    <row r="500" spans="1:8" ht="24" x14ac:dyDescent="0.2">
      <c r="A500" s="84" t="s">
        <v>227</v>
      </c>
      <c r="B500" s="30" t="s">
        <v>291</v>
      </c>
      <c r="C500" s="30" t="s">
        <v>731</v>
      </c>
      <c r="D500" s="30" t="s">
        <v>731</v>
      </c>
      <c r="E500" s="30" t="s">
        <v>542</v>
      </c>
      <c r="F500" s="30" t="s">
        <v>228</v>
      </c>
      <c r="G500" s="41">
        <v>190</v>
      </c>
      <c r="H500" s="41">
        <v>190</v>
      </c>
    </row>
    <row r="501" spans="1:8" x14ac:dyDescent="0.2">
      <c r="A501" s="84" t="s">
        <v>229</v>
      </c>
      <c r="B501" s="30" t="s">
        <v>291</v>
      </c>
      <c r="C501" s="30" t="s">
        <v>731</v>
      </c>
      <c r="D501" s="30" t="s">
        <v>731</v>
      </c>
      <c r="E501" s="30" t="s">
        <v>542</v>
      </c>
      <c r="F501" s="30" t="s">
        <v>230</v>
      </c>
      <c r="G501" s="41">
        <f>G502</f>
        <v>3</v>
      </c>
      <c r="H501" s="41">
        <f>H502</f>
        <v>3</v>
      </c>
    </row>
    <row r="502" spans="1:8" x14ac:dyDescent="0.2">
      <c r="A502" s="84" t="s">
        <v>106</v>
      </c>
      <c r="B502" s="30" t="s">
        <v>291</v>
      </c>
      <c r="C502" s="30" t="s">
        <v>731</v>
      </c>
      <c r="D502" s="30" t="s">
        <v>731</v>
      </c>
      <c r="E502" s="30" t="s">
        <v>542</v>
      </c>
      <c r="F502" s="30" t="s">
        <v>231</v>
      </c>
      <c r="G502" s="41">
        <v>3</v>
      </c>
      <c r="H502" s="41">
        <v>3</v>
      </c>
    </row>
    <row r="503" spans="1:8" ht="31.5" x14ac:dyDescent="0.2">
      <c r="A503" s="79" t="s">
        <v>705</v>
      </c>
      <c r="B503" s="46" t="s">
        <v>706</v>
      </c>
      <c r="C503" s="47"/>
      <c r="D503" s="47"/>
      <c r="E503" s="47"/>
      <c r="F503" s="47"/>
      <c r="G503" s="102">
        <f>G504+G513+G554+G563</f>
        <v>74542.399999999994</v>
      </c>
      <c r="H503" s="102">
        <f>H504+H513+H554+H563</f>
        <v>65471.5</v>
      </c>
    </row>
    <row r="504" spans="1:8" x14ac:dyDescent="0.2">
      <c r="A504" s="80" t="s">
        <v>655</v>
      </c>
      <c r="B504" s="24" t="s">
        <v>706</v>
      </c>
      <c r="C504" s="24" t="s">
        <v>216</v>
      </c>
      <c r="D504" s="24" t="s">
        <v>215</v>
      </c>
      <c r="E504" s="24"/>
      <c r="F504" s="24"/>
      <c r="G504" s="42">
        <f>G505</f>
        <v>1500</v>
      </c>
      <c r="H504" s="42">
        <f>H505</f>
        <v>6500</v>
      </c>
    </row>
    <row r="505" spans="1:8" x14ac:dyDescent="0.2">
      <c r="A505" s="80" t="s">
        <v>698</v>
      </c>
      <c r="B505" s="24" t="s">
        <v>706</v>
      </c>
      <c r="C505" s="24" t="s">
        <v>216</v>
      </c>
      <c r="D505" s="24" t="s">
        <v>823</v>
      </c>
      <c r="E505" s="33"/>
      <c r="F505" s="24"/>
      <c r="G505" s="42">
        <f>G506</f>
        <v>1500</v>
      </c>
      <c r="H505" s="42">
        <f>H506</f>
        <v>6500</v>
      </c>
    </row>
    <row r="506" spans="1:8" ht="27" x14ac:dyDescent="0.2">
      <c r="A506" s="86" t="s">
        <v>549</v>
      </c>
      <c r="B506" s="53" t="s">
        <v>706</v>
      </c>
      <c r="C506" s="53" t="s">
        <v>216</v>
      </c>
      <c r="D506" s="53" t="s">
        <v>823</v>
      </c>
      <c r="E506" s="53" t="s">
        <v>444</v>
      </c>
      <c r="F506" s="53"/>
      <c r="G506" s="57">
        <f>G507+G510</f>
        <v>1500</v>
      </c>
      <c r="H506" s="57">
        <f>H507+H510</f>
        <v>6500</v>
      </c>
    </row>
    <row r="507" spans="1:8" x14ac:dyDescent="0.2">
      <c r="A507" s="80" t="s">
        <v>395</v>
      </c>
      <c r="B507" s="24" t="s">
        <v>706</v>
      </c>
      <c r="C507" s="24" t="s">
        <v>216</v>
      </c>
      <c r="D507" s="24" t="s">
        <v>823</v>
      </c>
      <c r="E507" s="24" t="s">
        <v>843</v>
      </c>
      <c r="F507" s="24"/>
      <c r="G507" s="42">
        <f>G508</f>
        <v>1000</v>
      </c>
      <c r="H507" s="42">
        <f>H508</f>
        <v>6000</v>
      </c>
    </row>
    <row r="508" spans="1:8" x14ac:dyDescent="0.2">
      <c r="A508" s="84" t="s">
        <v>473</v>
      </c>
      <c r="B508" s="30" t="s">
        <v>706</v>
      </c>
      <c r="C508" s="30" t="s">
        <v>216</v>
      </c>
      <c r="D508" s="30" t="s">
        <v>823</v>
      </c>
      <c r="E508" s="30" t="s">
        <v>843</v>
      </c>
      <c r="F508" s="30" t="s">
        <v>226</v>
      </c>
      <c r="G508" s="41">
        <f>G509</f>
        <v>1000</v>
      </c>
      <c r="H508" s="41">
        <f>H509</f>
        <v>6000</v>
      </c>
    </row>
    <row r="509" spans="1:8" ht="24" x14ac:dyDescent="0.2">
      <c r="A509" s="84" t="s">
        <v>227</v>
      </c>
      <c r="B509" s="30" t="s">
        <v>706</v>
      </c>
      <c r="C509" s="30" t="s">
        <v>216</v>
      </c>
      <c r="D509" s="30" t="s">
        <v>823</v>
      </c>
      <c r="E509" s="30" t="s">
        <v>843</v>
      </c>
      <c r="F509" s="30" t="s">
        <v>228</v>
      </c>
      <c r="G509" s="41">
        <f>6000-5000</f>
        <v>1000</v>
      </c>
      <c r="H509" s="41">
        <v>6000</v>
      </c>
    </row>
    <row r="510" spans="1:8" x14ac:dyDescent="0.2">
      <c r="A510" s="75" t="s">
        <v>286</v>
      </c>
      <c r="B510" s="24" t="s">
        <v>706</v>
      </c>
      <c r="C510" s="24" t="s">
        <v>216</v>
      </c>
      <c r="D510" s="24" t="s">
        <v>823</v>
      </c>
      <c r="E510" s="24" t="s">
        <v>846</v>
      </c>
      <c r="F510" s="24"/>
      <c r="G510" s="42">
        <f>G511</f>
        <v>500</v>
      </c>
      <c r="H510" s="42">
        <f>H511</f>
        <v>500</v>
      </c>
    </row>
    <row r="511" spans="1:8" x14ac:dyDescent="0.2">
      <c r="A511" s="84" t="s">
        <v>473</v>
      </c>
      <c r="B511" s="30" t="s">
        <v>706</v>
      </c>
      <c r="C511" s="30" t="s">
        <v>216</v>
      </c>
      <c r="D511" s="30" t="s">
        <v>823</v>
      </c>
      <c r="E511" s="30" t="s">
        <v>846</v>
      </c>
      <c r="F511" s="30" t="s">
        <v>226</v>
      </c>
      <c r="G511" s="41">
        <f>G512</f>
        <v>500</v>
      </c>
      <c r="H511" s="41">
        <f>H512</f>
        <v>500</v>
      </c>
    </row>
    <row r="512" spans="1:8" ht="24" x14ac:dyDescent="0.2">
      <c r="A512" s="84" t="s">
        <v>227</v>
      </c>
      <c r="B512" s="30" t="s">
        <v>706</v>
      </c>
      <c r="C512" s="30" t="s">
        <v>216</v>
      </c>
      <c r="D512" s="30" t="s">
        <v>823</v>
      </c>
      <c r="E512" s="30" t="s">
        <v>846</v>
      </c>
      <c r="F512" s="30" t="s">
        <v>228</v>
      </c>
      <c r="G512" s="41">
        <v>500</v>
      </c>
      <c r="H512" s="41">
        <v>500</v>
      </c>
    </row>
    <row r="513" spans="1:8" x14ac:dyDescent="0.2">
      <c r="A513" s="80" t="s">
        <v>667</v>
      </c>
      <c r="B513" s="24" t="s">
        <v>706</v>
      </c>
      <c r="C513" s="24" t="s">
        <v>731</v>
      </c>
      <c r="D513" s="24" t="s">
        <v>215</v>
      </c>
      <c r="E513" s="24"/>
      <c r="F513" s="24"/>
      <c r="G513" s="42">
        <f>G514+G525+G531+G542</f>
        <v>32088</v>
      </c>
      <c r="H513" s="42">
        <f>H514+H525+H531+H542</f>
        <v>21788</v>
      </c>
    </row>
    <row r="514" spans="1:8" x14ac:dyDescent="0.2">
      <c r="A514" s="80" t="s">
        <v>668</v>
      </c>
      <c r="B514" s="24" t="s">
        <v>706</v>
      </c>
      <c r="C514" s="24" t="s">
        <v>731</v>
      </c>
      <c r="D514" s="24" t="s">
        <v>214</v>
      </c>
      <c r="E514" s="24"/>
      <c r="F514" s="24"/>
      <c r="G514" s="42">
        <f>G515</f>
        <v>17800</v>
      </c>
      <c r="H514" s="42">
        <f>H515</f>
        <v>9000</v>
      </c>
    </row>
    <row r="515" spans="1:8" ht="27" x14ac:dyDescent="0.2">
      <c r="A515" s="86" t="s">
        <v>549</v>
      </c>
      <c r="B515" s="53" t="s">
        <v>706</v>
      </c>
      <c r="C515" s="53" t="s">
        <v>731</v>
      </c>
      <c r="D515" s="53" t="s">
        <v>214</v>
      </c>
      <c r="E515" s="53" t="s">
        <v>444</v>
      </c>
      <c r="F515" s="53"/>
      <c r="G515" s="57">
        <f>G516+G519+G522</f>
        <v>17800</v>
      </c>
      <c r="H515" s="57">
        <f>H516+H519+H522</f>
        <v>9000</v>
      </c>
    </row>
    <row r="516" spans="1:8" ht="24" x14ac:dyDescent="0.2">
      <c r="A516" s="80" t="s">
        <v>848</v>
      </c>
      <c r="B516" s="24" t="s">
        <v>706</v>
      </c>
      <c r="C516" s="24" t="s">
        <v>731</v>
      </c>
      <c r="D516" s="24" t="s">
        <v>214</v>
      </c>
      <c r="E516" s="24" t="s">
        <v>849</v>
      </c>
      <c r="F516" s="24"/>
      <c r="G516" s="117">
        <f>G517</f>
        <v>1000</v>
      </c>
      <c r="H516" s="117">
        <f>H517</f>
        <v>2000</v>
      </c>
    </row>
    <row r="517" spans="1:8" s="51" customFormat="1" x14ac:dyDescent="0.2">
      <c r="A517" s="84" t="s">
        <v>394</v>
      </c>
      <c r="B517" s="30" t="s">
        <v>706</v>
      </c>
      <c r="C517" s="30" t="s">
        <v>731</v>
      </c>
      <c r="D517" s="30" t="s">
        <v>214</v>
      </c>
      <c r="E517" s="30" t="s">
        <v>849</v>
      </c>
      <c r="F517" s="30" t="s">
        <v>733</v>
      </c>
      <c r="G517" s="118">
        <f>G518</f>
        <v>1000</v>
      </c>
      <c r="H517" s="118">
        <f>H518</f>
        <v>2000</v>
      </c>
    </row>
    <row r="518" spans="1:8" s="48" customFormat="1" x14ac:dyDescent="0.2">
      <c r="A518" s="84" t="s">
        <v>734</v>
      </c>
      <c r="B518" s="30" t="s">
        <v>706</v>
      </c>
      <c r="C518" s="30" t="s">
        <v>731</v>
      </c>
      <c r="D518" s="30" t="s">
        <v>214</v>
      </c>
      <c r="E518" s="30" t="s">
        <v>849</v>
      </c>
      <c r="F518" s="30" t="s">
        <v>735</v>
      </c>
      <c r="G518" s="118">
        <v>1000</v>
      </c>
      <c r="H518" s="118">
        <v>2000</v>
      </c>
    </row>
    <row r="519" spans="1:8" s="48" customFormat="1" x14ac:dyDescent="0.2">
      <c r="A519" s="75" t="s">
        <v>286</v>
      </c>
      <c r="B519" s="24" t="s">
        <v>706</v>
      </c>
      <c r="C519" s="24" t="s">
        <v>731</v>
      </c>
      <c r="D519" s="24" t="s">
        <v>214</v>
      </c>
      <c r="E519" s="24" t="s">
        <v>846</v>
      </c>
      <c r="F519" s="30"/>
      <c r="G519" s="117">
        <f>G520</f>
        <v>3500</v>
      </c>
      <c r="H519" s="117">
        <f>H520</f>
        <v>7000</v>
      </c>
    </row>
    <row r="520" spans="1:8" s="48" customFormat="1" x14ac:dyDescent="0.2">
      <c r="A520" s="84" t="s">
        <v>394</v>
      </c>
      <c r="B520" s="30" t="s">
        <v>706</v>
      </c>
      <c r="C520" s="30" t="s">
        <v>731</v>
      </c>
      <c r="D520" s="30" t="s">
        <v>214</v>
      </c>
      <c r="E520" s="30" t="s">
        <v>846</v>
      </c>
      <c r="F520" s="30" t="s">
        <v>733</v>
      </c>
      <c r="G520" s="118">
        <f>G521</f>
        <v>3500</v>
      </c>
      <c r="H520" s="118">
        <f>H521</f>
        <v>7000</v>
      </c>
    </row>
    <row r="521" spans="1:8" s="48" customFormat="1" x14ac:dyDescent="0.2">
      <c r="A521" s="84" t="s">
        <v>734</v>
      </c>
      <c r="B521" s="30" t="s">
        <v>706</v>
      </c>
      <c r="C521" s="30" t="s">
        <v>731</v>
      </c>
      <c r="D521" s="30" t="s">
        <v>214</v>
      </c>
      <c r="E521" s="30" t="s">
        <v>846</v>
      </c>
      <c r="F521" s="30" t="s">
        <v>735</v>
      </c>
      <c r="G521" s="118">
        <v>3500</v>
      </c>
      <c r="H521" s="118">
        <v>7000</v>
      </c>
    </row>
    <row r="522" spans="1:8" s="48" customFormat="1" ht="24" x14ac:dyDescent="0.2">
      <c r="A522" s="80" t="s">
        <v>613</v>
      </c>
      <c r="B522" s="24" t="s">
        <v>706</v>
      </c>
      <c r="C522" s="24" t="s">
        <v>731</v>
      </c>
      <c r="D522" s="24" t="s">
        <v>214</v>
      </c>
      <c r="E522" s="24" t="s">
        <v>614</v>
      </c>
      <c r="F522" s="24"/>
      <c r="G522" s="117">
        <f>G523</f>
        <v>13300</v>
      </c>
      <c r="H522" s="117">
        <f>H523</f>
        <v>0</v>
      </c>
    </row>
    <row r="523" spans="1:8" s="48" customFormat="1" x14ac:dyDescent="0.2">
      <c r="A523" s="84" t="s">
        <v>394</v>
      </c>
      <c r="B523" s="30" t="s">
        <v>706</v>
      </c>
      <c r="C523" s="30" t="s">
        <v>731</v>
      </c>
      <c r="D523" s="30" t="s">
        <v>214</v>
      </c>
      <c r="E523" s="30" t="s">
        <v>614</v>
      </c>
      <c r="F523" s="30" t="s">
        <v>733</v>
      </c>
      <c r="G523" s="118">
        <f>G524</f>
        <v>13300</v>
      </c>
      <c r="H523" s="118">
        <f>H524</f>
        <v>0</v>
      </c>
    </row>
    <row r="524" spans="1:8" s="48" customFormat="1" x14ac:dyDescent="0.2">
      <c r="A524" s="84" t="s">
        <v>734</v>
      </c>
      <c r="B524" s="30" t="s">
        <v>706</v>
      </c>
      <c r="C524" s="30" t="s">
        <v>731</v>
      </c>
      <c r="D524" s="30" t="s">
        <v>214</v>
      </c>
      <c r="E524" s="30" t="s">
        <v>614</v>
      </c>
      <c r="F524" s="30" t="s">
        <v>735</v>
      </c>
      <c r="G524" s="118">
        <v>13300</v>
      </c>
      <c r="H524" s="118">
        <v>0</v>
      </c>
    </row>
    <row r="525" spans="1:8" x14ac:dyDescent="0.2">
      <c r="A525" s="80" t="s">
        <v>669</v>
      </c>
      <c r="B525" s="24" t="s">
        <v>706</v>
      </c>
      <c r="C525" s="24" t="s">
        <v>731</v>
      </c>
      <c r="D525" s="24" t="s">
        <v>825</v>
      </c>
      <c r="E525" s="24"/>
      <c r="F525" s="24"/>
      <c r="G525" s="42">
        <f t="shared" ref="G525:H529" si="27">G526</f>
        <v>500</v>
      </c>
      <c r="H525" s="117">
        <f t="shared" si="27"/>
        <v>0</v>
      </c>
    </row>
    <row r="526" spans="1:8" x14ac:dyDescent="0.2">
      <c r="A526" s="83" t="s">
        <v>670</v>
      </c>
      <c r="B526" s="25" t="s">
        <v>706</v>
      </c>
      <c r="C526" s="25" t="s">
        <v>731</v>
      </c>
      <c r="D526" s="25" t="s">
        <v>825</v>
      </c>
      <c r="E526" s="33"/>
      <c r="F526" s="33"/>
      <c r="G526" s="45">
        <f t="shared" si="27"/>
        <v>500</v>
      </c>
      <c r="H526" s="122">
        <f t="shared" si="27"/>
        <v>0</v>
      </c>
    </row>
    <row r="527" spans="1:8" ht="27" x14ac:dyDescent="0.2">
      <c r="A527" s="86" t="s">
        <v>549</v>
      </c>
      <c r="B527" s="53" t="s">
        <v>706</v>
      </c>
      <c r="C527" s="53" t="s">
        <v>731</v>
      </c>
      <c r="D527" s="53" t="s">
        <v>825</v>
      </c>
      <c r="E527" s="53" t="s">
        <v>444</v>
      </c>
      <c r="F527" s="53"/>
      <c r="G527" s="57">
        <f t="shared" si="27"/>
        <v>500</v>
      </c>
      <c r="H527" s="121">
        <f t="shared" si="27"/>
        <v>0</v>
      </c>
    </row>
    <row r="528" spans="1:8" s="48" customFormat="1" x14ac:dyDescent="0.2">
      <c r="A528" s="75" t="s">
        <v>286</v>
      </c>
      <c r="B528" s="24" t="s">
        <v>706</v>
      </c>
      <c r="C528" s="24" t="s">
        <v>731</v>
      </c>
      <c r="D528" s="24" t="s">
        <v>825</v>
      </c>
      <c r="E528" s="106" t="s">
        <v>846</v>
      </c>
      <c r="F528" s="24"/>
      <c r="G528" s="42">
        <f t="shared" si="27"/>
        <v>500</v>
      </c>
      <c r="H528" s="117">
        <f t="shared" si="27"/>
        <v>0</v>
      </c>
    </row>
    <row r="529" spans="1:8" s="48" customFormat="1" x14ac:dyDescent="0.2">
      <c r="A529" s="84" t="s">
        <v>394</v>
      </c>
      <c r="B529" s="30" t="s">
        <v>706</v>
      </c>
      <c r="C529" s="30" t="s">
        <v>731</v>
      </c>
      <c r="D529" s="30" t="s">
        <v>825</v>
      </c>
      <c r="E529" s="30" t="s">
        <v>846</v>
      </c>
      <c r="F529" s="30" t="s">
        <v>733</v>
      </c>
      <c r="G529" s="41">
        <f t="shared" si="27"/>
        <v>500</v>
      </c>
      <c r="H529" s="118">
        <f t="shared" si="27"/>
        <v>0</v>
      </c>
    </row>
    <row r="530" spans="1:8" s="49" customFormat="1" x14ac:dyDescent="0.2">
      <c r="A530" s="84" t="s">
        <v>734</v>
      </c>
      <c r="B530" s="30" t="s">
        <v>706</v>
      </c>
      <c r="C530" s="30" t="s">
        <v>731</v>
      </c>
      <c r="D530" s="30" t="s">
        <v>825</v>
      </c>
      <c r="E530" s="30" t="s">
        <v>846</v>
      </c>
      <c r="F530" s="30" t="s">
        <v>735</v>
      </c>
      <c r="G530" s="41">
        <v>500</v>
      </c>
      <c r="H530" s="118">
        <v>0</v>
      </c>
    </row>
    <row r="531" spans="1:8" s="49" customFormat="1" x14ac:dyDescent="0.2">
      <c r="A531" s="80" t="s">
        <v>671</v>
      </c>
      <c r="B531" s="24" t="s">
        <v>706</v>
      </c>
      <c r="C531" s="24" t="s">
        <v>731</v>
      </c>
      <c r="D531" s="24" t="s">
        <v>817</v>
      </c>
      <c r="E531" s="30"/>
      <c r="F531" s="30"/>
      <c r="G531" s="42">
        <f>G532</f>
        <v>7500</v>
      </c>
      <c r="H531" s="42">
        <f>H532</f>
        <v>6500</v>
      </c>
    </row>
    <row r="532" spans="1:8" s="49" customFormat="1" ht="27" x14ac:dyDescent="0.2">
      <c r="A532" s="86" t="s">
        <v>549</v>
      </c>
      <c r="B532" s="53" t="s">
        <v>706</v>
      </c>
      <c r="C532" s="53" t="s">
        <v>731</v>
      </c>
      <c r="D532" s="53" t="s">
        <v>817</v>
      </c>
      <c r="E532" s="53" t="s">
        <v>444</v>
      </c>
      <c r="F532" s="53"/>
      <c r="G532" s="57">
        <f>G533+G536+G539</f>
        <v>7500</v>
      </c>
      <c r="H532" s="57">
        <f>H533+H536+H539</f>
        <v>6500</v>
      </c>
    </row>
    <row r="533" spans="1:8" s="49" customFormat="1" x14ac:dyDescent="0.2">
      <c r="A533" s="75" t="s">
        <v>2</v>
      </c>
      <c r="B533" s="24" t="s">
        <v>706</v>
      </c>
      <c r="C533" s="24" t="s">
        <v>731</v>
      </c>
      <c r="D533" s="24" t="s">
        <v>817</v>
      </c>
      <c r="E533" s="24" t="s">
        <v>3</v>
      </c>
      <c r="F533" s="24"/>
      <c r="G533" s="42">
        <f>G534</f>
        <v>3400</v>
      </c>
      <c r="H533" s="42">
        <f>H534</f>
        <v>6000</v>
      </c>
    </row>
    <row r="534" spans="1:8" s="49" customFormat="1" x14ac:dyDescent="0.2">
      <c r="A534" s="84" t="s">
        <v>357</v>
      </c>
      <c r="B534" s="30" t="s">
        <v>706</v>
      </c>
      <c r="C534" s="30" t="s">
        <v>731</v>
      </c>
      <c r="D534" s="30" t="s">
        <v>817</v>
      </c>
      <c r="E534" s="30" t="s">
        <v>3</v>
      </c>
      <c r="F534" s="30" t="s">
        <v>226</v>
      </c>
      <c r="G534" s="41">
        <f>G535</f>
        <v>3400</v>
      </c>
      <c r="H534" s="41">
        <f>H535</f>
        <v>6000</v>
      </c>
    </row>
    <row r="535" spans="1:8" s="49" customFormat="1" ht="24" x14ac:dyDescent="0.2">
      <c r="A535" s="84" t="s">
        <v>227</v>
      </c>
      <c r="B535" s="30" t="s">
        <v>706</v>
      </c>
      <c r="C535" s="30" t="s">
        <v>731</v>
      </c>
      <c r="D535" s="30" t="s">
        <v>817</v>
      </c>
      <c r="E535" s="30" t="s">
        <v>3</v>
      </c>
      <c r="F535" s="30" t="s">
        <v>228</v>
      </c>
      <c r="G535" s="41">
        <f>15000-10000-1600</f>
        <v>3400</v>
      </c>
      <c r="H535" s="41">
        <f>16000-10000</f>
        <v>6000</v>
      </c>
    </row>
    <row r="536" spans="1:8" s="49" customFormat="1" x14ac:dyDescent="0.2">
      <c r="A536" s="80" t="s">
        <v>4</v>
      </c>
      <c r="B536" s="24" t="s">
        <v>706</v>
      </c>
      <c r="C536" s="24" t="s">
        <v>731</v>
      </c>
      <c r="D536" s="24" t="s">
        <v>817</v>
      </c>
      <c r="E536" s="24" t="s">
        <v>5</v>
      </c>
      <c r="F536" s="24"/>
      <c r="G536" s="42">
        <f>G537</f>
        <v>3600</v>
      </c>
      <c r="H536" s="117">
        <f>H537</f>
        <v>0</v>
      </c>
    </row>
    <row r="537" spans="1:8" s="49" customFormat="1" x14ac:dyDescent="0.2">
      <c r="A537" s="84" t="s">
        <v>357</v>
      </c>
      <c r="B537" s="30" t="s">
        <v>706</v>
      </c>
      <c r="C537" s="30" t="s">
        <v>731</v>
      </c>
      <c r="D537" s="30" t="s">
        <v>817</v>
      </c>
      <c r="E537" s="30" t="s">
        <v>5</v>
      </c>
      <c r="F537" s="30" t="s">
        <v>226</v>
      </c>
      <c r="G537" s="41">
        <f>G538</f>
        <v>3600</v>
      </c>
      <c r="H537" s="118">
        <f>H538</f>
        <v>0</v>
      </c>
    </row>
    <row r="538" spans="1:8" s="49" customFormat="1" ht="24" x14ac:dyDescent="0.2">
      <c r="A538" s="84" t="s">
        <v>227</v>
      </c>
      <c r="B538" s="30" t="s">
        <v>706</v>
      </c>
      <c r="C538" s="30" t="s">
        <v>731</v>
      </c>
      <c r="D538" s="30" t="s">
        <v>817</v>
      </c>
      <c r="E538" s="30" t="s">
        <v>5</v>
      </c>
      <c r="F538" s="30" t="s">
        <v>228</v>
      </c>
      <c r="G538" s="41">
        <f>2000+1600</f>
        <v>3600</v>
      </c>
      <c r="H538" s="118">
        <v>0</v>
      </c>
    </row>
    <row r="539" spans="1:8" s="49" customFormat="1" x14ac:dyDescent="0.2">
      <c r="A539" s="75" t="s">
        <v>286</v>
      </c>
      <c r="B539" s="24" t="s">
        <v>706</v>
      </c>
      <c r="C539" s="24" t="s">
        <v>731</v>
      </c>
      <c r="D539" s="24" t="s">
        <v>817</v>
      </c>
      <c r="E539" s="24" t="s">
        <v>846</v>
      </c>
      <c r="F539" s="24"/>
      <c r="G539" s="117">
        <f>G540</f>
        <v>500</v>
      </c>
      <c r="H539" s="117">
        <f>H540</f>
        <v>500</v>
      </c>
    </row>
    <row r="540" spans="1:8" s="49" customFormat="1" x14ac:dyDescent="0.2">
      <c r="A540" s="84" t="s">
        <v>473</v>
      </c>
      <c r="B540" s="30" t="s">
        <v>706</v>
      </c>
      <c r="C540" s="30" t="s">
        <v>731</v>
      </c>
      <c r="D540" s="30" t="s">
        <v>817</v>
      </c>
      <c r="E540" s="30" t="s">
        <v>846</v>
      </c>
      <c r="F540" s="30" t="s">
        <v>226</v>
      </c>
      <c r="G540" s="118">
        <f>G541</f>
        <v>500</v>
      </c>
      <c r="H540" s="118">
        <f>H541</f>
        <v>500</v>
      </c>
    </row>
    <row r="541" spans="1:8" s="49" customFormat="1" ht="24" x14ac:dyDescent="0.2">
      <c r="A541" s="84" t="s">
        <v>227</v>
      </c>
      <c r="B541" s="30" t="s">
        <v>706</v>
      </c>
      <c r="C541" s="30" t="s">
        <v>731</v>
      </c>
      <c r="D541" s="30" t="s">
        <v>817</v>
      </c>
      <c r="E541" s="30" t="s">
        <v>846</v>
      </c>
      <c r="F541" s="30" t="s">
        <v>228</v>
      </c>
      <c r="G541" s="118">
        <v>500</v>
      </c>
      <c r="H541" s="118">
        <v>500</v>
      </c>
    </row>
    <row r="542" spans="1:8" s="49" customFormat="1" x14ac:dyDescent="0.2">
      <c r="A542" s="80" t="s">
        <v>672</v>
      </c>
      <c r="B542" s="24" t="s">
        <v>706</v>
      </c>
      <c r="C542" s="24" t="s">
        <v>731</v>
      </c>
      <c r="D542" s="24" t="s">
        <v>731</v>
      </c>
      <c r="E542" s="24"/>
      <c r="F542" s="24"/>
      <c r="G542" s="42">
        <f t="shared" ref="G542:H544" si="28">G543</f>
        <v>6288</v>
      </c>
      <c r="H542" s="42">
        <f t="shared" si="28"/>
        <v>6288</v>
      </c>
    </row>
    <row r="543" spans="1:8" s="49" customFormat="1" ht="36" x14ac:dyDescent="0.2">
      <c r="A543" s="83" t="s">
        <v>704</v>
      </c>
      <c r="B543" s="25" t="s">
        <v>706</v>
      </c>
      <c r="C543" s="25" t="s">
        <v>731</v>
      </c>
      <c r="D543" s="25" t="s">
        <v>731</v>
      </c>
      <c r="E543" s="25"/>
      <c r="F543" s="25"/>
      <c r="G543" s="45">
        <f t="shared" si="28"/>
        <v>6288</v>
      </c>
      <c r="H543" s="45">
        <f t="shared" si="28"/>
        <v>6288</v>
      </c>
    </row>
    <row r="544" spans="1:8" s="49" customFormat="1" x14ac:dyDescent="0.2">
      <c r="A544" s="81" t="s">
        <v>212</v>
      </c>
      <c r="B544" s="25" t="s">
        <v>706</v>
      </c>
      <c r="C544" s="25" t="s">
        <v>731</v>
      </c>
      <c r="D544" s="25" t="s">
        <v>731</v>
      </c>
      <c r="E544" s="25" t="s">
        <v>382</v>
      </c>
      <c r="F544" s="25"/>
      <c r="G544" s="45">
        <f t="shared" si="28"/>
        <v>6288</v>
      </c>
      <c r="H544" s="45">
        <f t="shared" si="28"/>
        <v>6288</v>
      </c>
    </row>
    <row r="545" spans="1:8" s="49" customFormat="1" x14ac:dyDescent="0.2">
      <c r="A545" s="82" t="s">
        <v>476</v>
      </c>
      <c r="B545" s="24" t="s">
        <v>706</v>
      </c>
      <c r="C545" s="24" t="s">
        <v>731</v>
      </c>
      <c r="D545" s="24" t="s">
        <v>731</v>
      </c>
      <c r="E545" s="24" t="s">
        <v>383</v>
      </c>
      <c r="F545" s="30"/>
      <c r="G545" s="42">
        <f>G546+G549</f>
        <v>6288</v>
      </c>
      <c r="H545" s="42">
        <f>H546+H549</f>
        <v>6288</v>
      </c>
    </row>
    <row r="546" spans="1:8" s="49" customFormat="1" ht="24" x14ac:dyDescent="0.2">
      <c r="A546" s="82" t="s">
        <v>685</v>
      </c>
      <c r="B546" s="24" t="s">
        <v>706</v>
      </c>
      <c r="C546" s="24" t="s">
        <v>731</v>
      </c>
      <c r="D546" s="24" t="s">
        <v>731</v>
      </c>
      <c r="E546" s="24" t="s">
        <v>384</v>
      </c>
      <c r="F546" s="24"/>
      <c r="G546" s="42">
        <f>G547</f>
        <v>5388</v>
      </c>
      <c r="H546" s="42">
        <f>H547</f>
        <v>5388</v>
      </c>
    </row>
    <row r="547" spans="1:8" s="49" customFormat="1" ht="36" x14ac:dyDescent="0.2">
      <c r="A547" s="84" t="s">
        <v>217</v>
      </c>
      <c r="B547" s="30" t="s">
        <v>706</v>
      </c>
      <c r="C547" s="30" t="s">
        <v>731</v>
      </c>
      <c r="D547" s="30" t="s">
        <v>731</v>
      </c>
      <c r="E547" s="30" t="s">
        <v>384</v>
      </c>
      <c r="F547" s="30" t="s">
        <v>218</v>
      </c>
      <c r="G547" s="41">
        <f>G548</f>
        <v>5388</v>
      </c>
      <c r="H547" s="41">
        <f>H548</f>
        <v>5388</v>
      </c>
    </row>
    <row r="548" spans="1:8" x14ac:dyDescent="0.2">
      <c r="A548" s="84" t="s">
        <v>219</v>
      </c>
      <c r="B548" s="30" t="s">
        <v>706</v>
      </c>
      <c r="C548" s="30" t="s">
        <v>731</v>
      </c>
      <c r="D548" s="30" t="s">
        <v>731</v>
      </c>
      <c r="E548" s="30" t="s">
        <v>384</v>
      </c>
      <c r="F548" s="30" t="s">
        <v>224</v>
      </c>
      <c r="G548" s="41">
        <f>4100+50+1238</f>
        <v>5388</v>
      </c>
      <c r="H548" s="41">
        <f>4100+50+1238</f>
        <v>5388</v>
      </c>
    </row>
    <row r="549" spans="1:8" x14ac:dyDescent="0.2">
      <c r="A549" s="80" t="s">
        <v>225</v>
      </c>
      <c r="B549" s="24" t="s">
        <v>706</v>
      </c>
      <c r="C549" s="24" t="s">
        <v>731</v>
      </c>
      <c r="D549" s="24" t="s">
        <v>731</v>
      </c>
      <c r="E549" s="24" t="s">
        <v>385</v>
      </c>
      <c r="F549" s="24"/>
      <c r="G549" s="42">
        <f>G550+G552</f>
        <v>900</v>
      </c>
      <c r="H549" s="42">
        <f>H550+H552</f>
        <v>900</v>
      </c>
    </row>
    <row r="550" spans="1:8" s="49" customFormat="1" x14ac:dyDescent="0.2">
      <c r="A550" s="84" t="s">
        <v>473</v>
      </c>
      <c r="B550" s="30" t="s">
        <v>706</v>
      </c>
      <c r="C550" s="30" t="s">
        <v>731</v>
      </c>
      <c r="D550" s="30" t="s">
        <v>731</v>
      </c>
      <c r="E550" s="30" t="s">
        <v>385</v>
      </c>
      <c r="F550" s="30" t="s">
        <v>226</v>
      </c>
      <c r="G550" s="41">
        <f>G551</f>
        <v>740</v>
      </c>
      <c r="H550" s="41">
        <f>H551</f>
        <v>740</v>
      </c>
    </row>
    <row r="551" spans="1:8" s="49" customFormat="1" ht="24" x14ac:dyDescent="0.2">
      <c r="A551" s="84" t="s">
        <v>227</v>
      </c>
      <c r="B551" s="30" t="s">
        <v>706</v>
      </c>
      <c r="C551" s="30" t="s">
        <v>731</v>
      </c>
      <c r="D551" s="30" t="s">
        <v>731</v>
      </c>
      <c r="E551" s="30" t="s">
        <v>385</v>
      </c>
      <c r="F551" s="30" t="s">
        <v>228</v>
      </c>
      <c r="G551" s="41">
        <v>740</v>
      </c>
      <c r="H551" s="41">
        <v>740</v>
      </c>
    </row>
    <row r="552" spans="1:8" s="49" customFormat="1" x14ac:dyDescent="0.2">
      <c r="A552" s="84" t="s">
        <v>229</v>
      </c>
      <c r="B552" s="30" t="s">
        <v>706</v>
      </c>
      <c r="C552" s="30" t="s">
        <v>731</v>
      </c>
      <c r="D552" s="30" t="s">
        <v>731</v>
      </c>
      <c r="E552" s="30" t="s">
        <v>385</v>
      </c>
      <c r="F552" s="30" t="s">
        <v>230</v>
      </c>
      <c r="G552" s="41">
        <f>G553</f>
        <v>160</v>
      </c>
      <c r="H552" s="41">
        <f>H553</f>
        <v>160</v>
      </c>
    </row>
    <row r="553" spans="1:8" s="49" customFormat="1" x14ac:dyDescent="0.2">
      <c r="A553" s="84" t="s">
        <v>106</v>
      </c>
      <c r="B553" s="30" t="s">
        <v>706</v>
      </c>
      <c r="C553" s="30" t="s">
        <v>731</v>
      </c>
      <c r="D553" s="30" t="s">
        <v>731</v>
      </c>
      <c r="E553" s="30" t="s">
        <v>385</v>
      </c>
      <c r="F553" s="30" t="s">
        <v>231</v>
      </c>
      <c r="G553" s="41">
        <v>160</v>
      </c>
      <c r="H553" s="41">
        <v>160</v>
      </c>
    </row>
    <row r="554" spans="1:8" s="49" customFormat="1" x14ac:dyDescent="0.2">
      <c r="A554" s="80" t="s">
        <v>673</v>
      </c>
      <c r="B554" s="24" t="s">
        <v>706</v>
      </c>
      <c r="C554" s="24" t="s">
        <v>824</v>
      </c>
      <c r="D554" s="24" t="s">
        <v>215</v>
      </c>
      <c r="E554" s="24"/>
      <c r="F554" s="24"/>
      <c r="G554" s="42">
        <f>G555</f>
        <v>30454.400000000001</v>
      </c>
      <c r="H554" s="42">
        <f>H555</f>
        <v>34963.5</v>
      </c>
    </row>
    <row r="555" spans="1:8" s="49" customFormat="1" x14ac:dyDescent="0.2">
      <c r="A555" s="80" t="s">
        <v>677</v>
      </c>
      <c r="B555" s="24" t="s">
        <v>706</v>
      </c>
      <c r="C555" s="24" t="s">
        <v>824</v>
      </c>
      <c r="D555" s="24" t="s">
        <v>818</v>
      </c>
      <c r="E555" s="30"/>
      <c r="F555" s="24"/>
      <c r="G555" s="42">
        <f>G556</f>
        <v>30454.400000000001</v>
      </c>
      <c r="H555" s="42">
        <f>H556</f>
        <v>34963.5</v>
      </c>
    </row>
    <row r="556" spans="1:8" s="49" customFormat="1" ht="27" x14ac:dyDescent="0.2">
      <c r="A556" s="86" t="s">
        <v>549</v>
      </c>
      <c r="B556" s="53" t="s">
        <v>706</v>
      </c>
      <c r="C556" s="53" t="s">
        <v>824</v>
      </c>
      <c r="D556" s="53" t="s">
        <v>818</v>
      </c>
      <c r="E556" s="53" t="s">
        <v>444</v>
      </c>
      <c r="F556" s="53"/>
      <c r="G556" s="57">
        <f>G557+G560</f>
        <v>30454.400000000001</v>
      </c>
      <c r="H556" s="57">
        <f>H557+H560</f>
        <v>34963.5</v>
      </c>
    </row>
    <row r="557" spans="1:8" s="49" customFormat="1" x14ac:dyDescent="0.2">
      <c r="A557" s="75" t="s">
        <v>335</v>
      </c>
      <c r="B557" s="24" t="s">
        <v>706</v>
      </c>
      <c r="C557" s="24" t="s">
        <v>824</v>
      </c>
      <c r="D557" s="24" t="s">
        <v>818</v>
      </c>
      <c r="E557" s="106" t="s">
        <v>6</v>
      </c>
      <c r="F557" s="24"/>
      <c r="G557" s="42">
        <f>G558</f>
        <v>25454.400000000001</v>
      </c>
      <c r="H557" s="42">
        <f>H558</f>
        <v>29963.5</v>
      </c>
    </row>
    <row r="558" spans="1:8" s="49" customFormat="1" x14ac:dyDescent="0.2">
      <c r="A558" s="84" t="s">
        <v>473</v>
      </c>
      <c r="B558" s="30" t="s">
        <v>706</v>
      </c>
      <c r="C558" s="30" t="s">
        <v>824</v>
      </c>
      <c r="D558" s="30" t="s">
        <v>818</v>
      </c>
      <c r="E558" s="96" t="s">
        <v>6</v>
      </c>
      <c r="F558" s="30" t="s">
        <v>226</v>
      </c>
      <c r="G558" s="41">
        <f>G559</f>
        <v>25454.400000000001</v>
      </c>
      <c r="H558" s="41">
        <f>H559</f>
        <v>29963.5</v>
      </c>
    </row>
    <row r="559" spans="1:8" s="49" customFormat="1" ht="24" x14ac:dyDescent="0.2">
      <c r="A559" s="84" t="s">
        <v>227</v>
      </c>
      <c r="B559" s="30" t="s">
        <v>706</v>
      </c>
      <c r="C559" s="30" t="s">
        <v>824</v>
      </c>
      <c r="D559" s="30" t="s">
        <v>818</v>
      </c>
      <c r="E559" s="96" t="s">
        <v>6</v>
      </c>
      <c r="F559" s="30" t="s">
        <v>228</v>
      </c>
      <c r="G559" s="41">
        <f>60500-50000+8877.4+14377-8300</f>
        <v>25454.400000000001</v>
      </c>
      <c r="H559" s="41">
        <f>67500-50000+22265-9801.5</f>
        <v>29963.5</v>
      </c>
    </row>
    <row r="560" spans="1:8" s="48" customFormat="1" x14ac:dyDescent="0.2">
      <c r="A560" s="75" t="s">
        <v>286</v>
      </c>
      <c r="B560" s="24" t="s">
        <v>706</v>
      </c>
      <c r="C560" s="24" t="s">
        <v>824</v>
      </c>
      <c r="D560" s="24" t="s">
        <v>818</v>
      </c>
      <c r="E560" s="106" t="s">
        <v>846</v>
      </c>
      <c r="F560" s="24"/>
      <c r="G560" s="117">
        <f>G561</f>
        <v>5000</v>
      </c>
      <c r="H560" s="117">
        <f>H561</f>
        <v>5000</v>
      </c>
    </row>
    <row r="561" spans="1:8" s="48" customFormat="1" x14ac:dyDescent="0.2">
      <c r="A561" s="84" t="s">
        <v>473</v>
      </c>
      <c r="B561" s="30" t="s">
        <v>706</v>
      </c>
      <c r="C561" s="30" t="s">
        <v>824</v>
      </c>
      <c r="D561" s="30" t="s">
        <v>818</v>
      </c>
      <c r="E561" s="30" t="s">
        <v>846</v>
      </c>
      <c r="F561" s="30" t="s">
        <v>226</v>
      </c>
      <c r="G561" s="118">
        <f>G562</f>
        <v>5000</v>
      </c>
      <c r="H561" s="118">
        <f>H562</f>
        <v>5000</v>
      </c>
    </row>
    <row r="562" spans="1:8" s="48" customFormat="1" ht="24" x14ac:dyDescent="0.2">
      <c r="A562" s="84" t="s">
        <v>227</v>
      </c>
      <c r="B562" s="30" t="s">
        <v>706</v>
      </c>
      <c r="C562" s="30" t="s">
        <v>824</v>
      </c>
      <c r="D562" s="30" t="s">
        <v>818</v>
      </c>
      <c r="E562" s="30" t="s">
        <v>846</v>
      </c>
      <c r="F562" s="30" t="s">
        <v>228</v>
      </c>
      <c r="G562" s="118">
        <v>5000</v>
      </c>
      <c r="H562" s="118">
        <v>5000</v>
      </c>
    </row>
    <row r="563" spans="1:8" x14ac:dyDescent="0.2">
      <c r="A563" s="80" t="s">
        <v>689</v>
      </c>
      <c r="B563" s="24" t="s">
        <v>706</v>
      </c>
      <c r="C563" s="24" t="s">
        <v>822</v>
      </c>
      <c r="D563" s="24" t="s">
        <v>215</v>
      </c>
      <c r="E563" s="24"/>
      <c r="F563" s="24"/>
      <c r="G563" s="117">
        <f>G564</f>
        <v>10500</v>
      </c>
      <c r="H563" s="117">
        <f>H564</f>
        <v>2220</v>
      </c>
    </row>
    <row r="564" spans="1:8" x14ac:dyDescent="0.2">
      <c r="A564" s="80" t="s">
        <v>799</v>
      </c>
      <c r="B564" s="24" t="s">
        <v>706</v>
      </c>
      <c r="C564" s="24" t="s">
        <v>822</v>
      </c>
      <c r="D564" s="24" t="s">
        <v>216</v>
      </c>
      <c r="E564" s="24"/>
      <c r="F564" s="24"/>
      <c r="G564" s="117">
        <f>G565</f>
        <v>10500</v>
      </c>
      <c r="H564" s="117">
        <f>H565</f>
        <v>2220</v>
      </c>
    </row>
    <row r="565" spans="1:8" ht="27" x14ac:dyDescent="0.2">
      <c r="A565" s="86" t="s">
        <v>549</v>
      </c>
      <c r="B565" s="53" t="s">
        <v>706</v>
      </c>
      <c r="C565" s="53" t="s">
        <v>822</v>
      </c>
      <c r="D565" s="53" t="s">
        <v>216</v>
      </c>
      <c r="E565" s="53" t="s">
        <v>444</v>
      </c>
      <c r="F565" s="25"/>
      <c r="G565" s="121">
        <f>G566+G571+G574</f>
        <v>10500</v>
      </c>
      <c r="H565" s="121">
        <f>H566+H571+H574</f>
        <v>2220</v>
      </c>
    </row>
    <row r="566" spans="1:8" x14ac:dyDescent="0.2">
      <c r="A566" s="75" t="s">
        <v>286</v>
      </c>
      <c r="B566" s="37">
        <v>606</v>
      </c>
      <c r="C566" s="44" t="s">
        <v>822</v>
      </c>
      <c r="D566" s="44" t="s">
        <v>216</v>
      </c>
      <c r="E566" s="24" t="s">
        <v>846</v>
      </c>
      <c r="F566" s="30"/>
      <c r="G566" s="117">
        <f>G567+G569</f>
        <v>500</v>
      </c>
      <c r="H566" s="117">
        <f>H567+H569</f>
        <v>500</v>
      </c>
    </row>
    <row r="567" spans="1:8" s="50" customFormat="1" x14ac:dyDescent="0.2">
      <c r="A567" s="84" t="s">
        <v>473</v>
      </c>
      <c r="B567" s="31">
        <v>606</v>
      </c>
      <c r="C567" s="52" t="s">
        <v>822</v>
      </c>
      <c r="D567" s="52" t="s">
        <v>216</v>
      </c>
      <c r="E567" s="30" t="s">
        <v>846</v>
      </c>
      <c r="F567" s="30" t="s">
        <v>226</v>
      </c>
      <c r="G567" s="118">
        <f>G568</f>
        <v>200</v>
      </c>
      <c r="H567" s="118">
        <f>H568</f>
        <v>200</v>
      </c>
    </row>
    <row r="568" spans="1:8" s="51" customFormat="1" ht="24" x14ac:dyDescent="0.2">
      <c r="A568" s="84" t="s">
        <v>227</v>
      </c>
      <c r="B568" s="30" t="s">
        <v>706</v>
      </c>
      <c r="C568" s="30" t="s">
        <v>822</v>
      </c>
      <c r="D568" s="30" t="s">
        <v>216</v>
      </c>
      <c r="E568" s="30" t="s">
        <v>846</v>
      </c>
      <c r="F568" s="30" t="s">
        <v>228</v>
      </c>
      <c r="G568" s="118">
        <v>200</v>
      </c>
      <c r="H568" s="118">
        <v>200</v>
      </c>
    </row>
    <row r="569" spans="1:8" s="51" customFormat="1" x14ac:dyDescent="0.2">
      <c r="A569" s="84" t="s">
        <v>394</v>
      </c>
      <c r="B569" s="30" t="s">
        <v>706</v>
      </c>
      <c r="C569" s="30" t="s">
        <v>822</v>
      </c>
      <c r="D569" s="30" t="s">
        <v>216</v>
      </c>
      <c r="E569" s="30" t="s">
        <v>846</v>
      </c>
      <c r="F569" s="30" t="s">
        <v>733</v>
      </c>
      <c r="G569" s="118">
        <f>G570</f>
        <v>300</v>
      </c>
      <c r="H569" s="118">
        <f>H570</f>
        <v>300</v>
      </c>
    </row>
    <row r="570" spans="1:8" s="51" customFormat="1" x14ac:dyDescent="0.2">
      <c r="A570" s="84" t="s">
        <v>734</v>
      </c>
      <c r="B570" s="30" t="s">
        <v>706</v>
      </c>
      <c r="C570" s="30" t="s">
        <v>822</v>
      </c>
      <c r="D570" s="30" t="s">
        <v>216</v>
      </c>
      <c r="E570" s="30" t="s">
        <v>846</v>
      </c>
      <c r="F570" s="30" t="s">
        <v>735</v>
      </c>
      <c r="G570" s="118">
        <v>300</v>
      </c>
      <c r="H570" s="118">
        <v>300</v>
      </c>
    </row>
    <row r="571" spans="1:8" s="51" customFormat="1" x14ac:dyDescent="0.2">
      <c r="A571" s="80" t="s">
        <v>583</v>
      </c>
      <c r="B571" s="37">
        <v>606</v>
      </c>
      <c r="C571" s="44" t="s">
        <v>822</v>
      </c>
      <c r="D571" s="44" t="s">
        <v>216</v>
      </c>
      <c r="E571" s="24" t="s">
        <v>584</v>
      </c>
      <c r="F571" s="24"/>
      <c r="G571" s="117">
        <f>G572</f>
        <v>0</v>
      </c>
      <c r="H571" s="117">
        <f>H572</f>
        <v>1720</v>
      </c>
    </row>
    <row r="572" spans="1:8" s="48" customFormat="1" x14ac:dyDescent="0.2">
      <c r="A572" s="84" t="s">
        <v>394</v>
      </c>
      <c r="B572" s="31">
        <v>606</v>
      </c>
      <c r="C572" s="52" t="s">
        <v>822</v>
      </c>
      <c r="D572" s="52" t="s">
        <v>216</v>
      </c>
      <c r="E572" s="30" t="s">
        <v>584</v>
      </c>
      <c r="F572" s="30" t="s">
        <v>733</v>
      </c>
      <c r="G572" s="118">
        <f>G573</f>
        <v>0</v>
      </c>
      <c r="H572" s="118">
        <f>H573</f>
        <v>1720</v>
      </c>
    </row>
    <row r="573" spans="1:8" s="48" customFormat="1" x14ac:dyDescent="0.2">
      <c r="A573" s="84" t="s">
        <v>734</v>
      </c>
      <c r="B573" s="30" t="s">
        <v>706</v>
      </c>
      <c r="C573" s="30" t="s">
        <v>822</v>
      </c>
      <c r="D573" s="30" t="s">
        <v>216</v>
      </c>
      <c r="E573" s="30" t="s">
        <v>584</v>
      </c>
      <c r="F573" s="30" t="s">
        <v>735</v>
      </c>
      <c r="G573" s="118">
        <f>20000-20000</f>
        <v>0</v>
      </c>
      <c r="H573" s="118">
        <v>1720</v>
      </c>
    </row>
    <row r="574" spans="1:8" s="48" customFormat="1" x14ac:dyDescent="0.2">
      <c r="A574" s="80" t="s">
        <v>486</v>
      </c>
      <c r="B574" s="24" t="s">
        <v>706</v>
      </c>
      <c r="C574" s="24" t="s">
        <v>822</v>
      </c>
      <c r="D574" s="24" t="s">
        <v>216</v>
      </c>
      <c r="E574" s="24" t="s">
        <v>485</v>
      </c>
      <c r="F574" s="24"/>
      <c r="G574" s="42">
        <f>G575</f>
        <v>10000</v>
      </c>
      <c r="H574" s="117">
        <f>H575</f>
        <v>0</v>
      </c>
    </row>
    <row r="575" spans="1:8" s="48" customFormat="1" x14ac:dyDescent="0.2">
      <c r="A575" s="84" t="s">
        <v>394</v>
      </c>
      <c r="B575" s="30" t="s">
        <v>706</v>
      </c>
      <c r="C575" s="30" t="s">
        <v>822</v>
      </c>
      <c r="D575" s="30" t="s">
        <v>216</v>
      </c>
      <c r="E575" s="30" t="s">
        <v>485</v>
      </c>
      <c r="F575" s="30" t="s">
        <v>733</v>
      </c>
      <c r="G575" s="41">
        <f>G576</f>
        <v>10000</v>
      </c>
      <c r="H575" s="118">
        <f>H576</f>
        <v>0</v>
      </c>
    </row>
    <row r="576" spans="1:8" s="48" customFormat="1" x14ac:dyDescent="0.2">
      <c r="A576" s="84" t="s">
        <v>734</v>
      </c>
      <c r="B576" s="30" t="s">
        <v>706</v>
      </c>
      <c r="C576" s="30" t="s">
        <v>822</v>
      </c>
      <c r="D576" s="30" t="s">
        <v>216</v>
      </c>
      <c r="E576" s="30" t="s">
        <v>485</v>
      </c>
      <c r="F576" s="30" t="s">
        <v>735</v>
      </c>
      <c r="G576" s="41">
        <v>10000</v>
      </c>
      <c r="H576" s="118">
        <v>0</v>
      </c>
    </row>
    <row r="577" spans="1:8" ht="47.25" x14ac:dyDescent="0.2">
      <c r="A577" s="79" t="s">
        <v>721</v>
      </c>
      <c r="B577" s="46" t="s">
        <v>722</v>
      </c>
      <c r="C577" s="47"/>
      <c r="D577" s="47"/>
      <c r="E577" s="25"/>
      <c r="F577" s="46"/>
      <c r="G577" s="102">
        <f>G578+G585+G592</f>
        <v>217225</v>
      </c>
      <c r="H577" s="102">
        <f>H578+H585+H592</f>
        <v>176625</v>
      </c>
    </row>
    <row r="578" spans="1:8" x14ac:dyDescent="0.2">
      <c r="A578" s="80" t="s">
        <v>256</v>
      </c>
      <c r="B578" s="24" t="s">
        <v>722</v>
      </c>
      <c r="C578" s="24" t="s">
        <v>214</v>
      </c>
      <c r="D578" s="24" t="s">
        <v>215</v>
      </c>
      <c r="E578" s="24"/>
      <c r="F578" s="24"/>
      <c r="G578" s="42">
        <f t="shared" ref="G578:H581" si="29">G579</f>
        <v>1000</v>
      </c>
      <c r="H578" s="42">
        <f t="shared" si="29"/>
        <v>1000</v>
      </c>
    </row>
    <row r="579" spans="1:8" x14ac:dyDescent="0.2">
      <c r="A579" s="80" t="s">
        <v>509</v>
      </c>
      <c r="B579" s="24" t="s">
        <v>722</v>
      </c>
      <c r="C579" s="24" t="s">
        <v>214</v>
      </c>
      <c r="D579" s="24" t="s">
        <v>235</v>
      </c>
      <c r="E579" s="24"/>
      <c r="F579" s="24"/>
      <c r="G579" s="42">
        <f t="shared" si="29"/>
        <v>1000</v>
      </c>
      <c r="H579" s="42">
        <f t="shared" si="29"/>
        <v>1000</v>
      </c>
    </row>
    <row r="580" spans="1:8" x14ac:dyDescent="0.2">
      <c r="A580" s="80" t="s">
        <v>476</v>
      </c>
      <c r="B580" s="24" t="s">
        <v>722</v>
      </c>
      <c r="C580" s="24" t="s">
        <v>214</v>
      </c>
      <c r="D580" s="24" t="s">
        <v>235</v>
      </c>
      <c r="E580" s="43" t="s">
        <v>383</v>
      </c>
      <c r="F580" s="24"/>
      <c r="G580" s="42">
        <f t="shared" si="29"/>
        <v>1000</v>
      </c>
      <c r="H580" s="42">
        <f t="shared" si="29"/>
        <v>1000</v>
      </c>
    </row>
    <row r="581" spans="1:8" x14ac:dyDescent="0.2">
      <c r="A581" s="83" t="s">
        <v>510</v>
      </c>
      <c r="B581" s="25" t="s">
        <v>722</v>
      </c>
      <c r="C581" s="25" t="s">
        <v>214</v>
      </c>
      <c r="D581" s="25" t="s">
        <v>235</v>
      </c>
      <c r="E581" s="54" t="s">
        <v>147</v>
      </c>
      <c r="F581" s="25"/>
      <c r="G581" s="45">
        <f t="shared" si="29"/>
        <v>1000</v>
      </c>
      <c r="H581" s="45">
        <f t="shared" si="29"/>
        <v>1000</v>
      </c>
    </row>
    <row r="582" spans="1:8" x14ac:dyDescent="0.2">
      <c r="A582" s="84" t="s">
        <v>229</v>
      </c>
      <c r="B582" s="30" t="s">
        <v>722</v>
      </c>
      <c r="C582" s="30" t="s">
        <v>214</v>
      </c>
      <c r="D582" s="30" t="s">
        <v>235</v>
      </c>
      <c r="E582" s="40" t="s">
        <v>147</v>
      </c>
      <c r="F582" s="30" t="s">
        <v>230</v>
      </c>
      <c r="G582" s="41">
        <f>G583+G584</f>
        <v>1000</v>
      </c>
      <c r="H582" s="41">
        <f>H583+H584</f>
        <v>1000</v>
      </c>
    </row>
    <row r="583" spans="1:8" s="48" customFormat="1" x14ac:dyDescent="0.2">
      <c r="A583" s="84" t="s">
        <v>306</v>
      </c>
      <c r="B583" s="30" t="s">
        <v>722</v>
      </c>
      <c r="C583" s="30" t="s">
        <v>214</v>
      </c>
      <c r="D583" s="30" t="s">
        <v>235</v>
      </c>
      <c r="E583" s="40" t="s">
        <v>147</v>
      </c>
      <c r="F583" s="30" t="s">
        <v>310</v>
      </c>
      <c r="G583" s="41">
        <v>980</v>
      </c>
      <c r="H583" s="41">
        <v>980</v>
      </c>
    </row>
    <row r="584" spans="1:8" x14ac:dyDescent="0.2">
      <c r="A584" s="84" t="s">
        <v>106</v>
      </c>
      <c r="B584" s="30" t="s">
        <v>722</v>
      </c>
      <c r="C584" s="30" t="s">
        <v>214</v>
      </c>
      <c r="D584" s="30" t="s">
        <v>235</v>
      </c>
      <c r="E584" s="40" t="s">
        <v>147</v>
      </c>
      <c r="F584" s="30" t="s">
        <v>231</v>
      </c>
      <c r="G584" s="41">
        <v>20</v>
      </c>
      <c r="H584" s="41">
        <v>20</v>
      </c>
    </row>
    <row r="585" spans="1:8" s="48" customFormat="1" x14ac:dyDescent="0.2">
      <c r="A585" s="80" t="s">
        <v>655</v>
      </c>
      <c r="B585" s="24" t="s">
        <v>722</v>
      </c>
      <c r="C585" s="24" t="s">
        <v>216</v>
      </c>
      <c r="D585" s="24" t="s">
        <v>215</v>
      </c>
      <c r="E585" s="25"/>
      <c r="F585" s="25"/>
      <c r="G585" s="42">
        <f t="shared" ref="G585:H590" si="30">G586</f>
        <v>2000</v>
      </c>
      <c r="H585" s="42">
        <f t="shared" si="30"/>
        <v>2000</v>
      </c>
    </row>
    <row r="586" spans="1:8" s="48" customFormat="1" x14ac:dyDescent="0.2">
      <c r="A586" s="80" t="s">
        <v>698</v>
      </c>
      <c r="B586" s="24" t="s">
        <v>722</v>
      </c>
      <c r="C586" s="24" t="s">
        <v>216</v>
      </c>
      <c r="D586" s="24" t="s">
        <v>823</v>
      </c>
      <c r="E586" s="25"/>
      <c r="F586" s="25"/>
      <c r="G586" s="42">
        <f t="shared" si="30"/>
        <v>2000</v>
      </c>
      <c r="H586" s="42">
        <f t="shared" si="30"/>
        <v>2000</v>
      </c>
    </row>
    <row r="587" spans="1:8" s="48" customFormat="1" ht="40.5" x14ac:dyDescent="0.2">
      <c r="A587" s="86" t="s">
        <v>65</v>
      </c>
      <c r="B587" s="53" t="s">
        <v>722</v>
      </c>
      <c r="C587" s="53" t="s">
        <v>216</v>
      </c>
      <c r="D587" s="53" t="s">
        <v>823</v>
      </c>
      <c r="E587" s="53" t="s">
        <v>410</v>
      </c>
      <c r="F587" s="53"/>
      <c r="G587" s="57">
        <f t="shared" si="30"/>
        <v>2000</v>
      </c>
      <c r="H587" s="57">
        <f t="shared" si="30"/>
        <v>2000</v>
      </c>
    </row>
    <row r="588" spans="1:8" s="48" customFormat="1" x14ac:dyDescent="0.2">
      <c r="A588" s="80" t="s">
        <v>412</v>
      </c>
      <c r="B588" s="24" t="s">
        <v>722</v>
      </c>
      <c r="C588" s="24" t="s">
        <v>216</v>
      </c>
      <c r="D588" s="24" t="s">
        <v>823</v>
      </c>
      <c r="E588" s="24" t="s">
        <v>411</v>
      </c>
      <c r="F588" s="30"/>
      <c r="G588" s="42">
        <f t="shared" si="30"/>
        <v>2000</v>
      </c>
      <c r="H588" s="42">
        <f t="shared" si="30"/>
        <v>2000</v>
      </c>
    </row>
    <row r="589" spans="1:8" s="48" customFormat="1" x14ac:dyDescent="0.2">
      <c r="A589" s="125" t="s">
        <v>718</v>
      </c>
      <c r="B589" s="25" t="s">
        <v>722</v>
      </c>
      <c r="C589" s="25" t="s">
        <v>216</v>
      </c>
      <c r="D589" s="25" t="s">
        <v>823</v>
      </c>
      <c r="E589" s="124" t="s">
        <v>66</v>
      </c>
      <c r="F589" s="25"/>
      <c r="G589" s="45">
        <f t="shared" si="30"/>
        <v>2000</v>
      </c>
      <c r="H589" s="45">
        <f t="shared" si="30"/>
        <v>2000</v>
      </c>
    </row>
    <row r="590" spans="1:8" s="48" customFormat="1" x14ac:dyDescent="0.2">
      <c r="A590" s="84" t="s">
        <v>473</v>
      </c>
      <c r="B590" s="30" t="s">
        <v>722</v>
      </c>
      <c r="C590" s="30" t="s">
        <v>216</v>
      </c>
      <c r="D590" s="30" t="s">
        <v>823</v>
      </c>
      <c r="E590" s="30" t="s">
        <v>66</v>
      </c>
      <c r="F590" s="30" t="s">
        <v>226</v>
      </c>
      <c r="G590" s="41">
        <f t="shared" si="30"/>
        <v>2000</v>
      </c>
      <c r="H590" s="41">
        <f t="shared" si="30"/>
        <v>2000</v>
      </c>
    </row>
    <row r="591" spans="1:8" s="48" customFormat="1" ht="24" x14ac:dyDescent="0.2">
      <c r="A591" s="84" t="s">
        <v>227</v>
      </c>
      <c r="B591" s="30" t="s">
        <v>722</v>
      </c>
      <c r="C591" s="30" t="s">
        <v>216</v>
      </c>
      <c r="D591" s="30" t="s">
        <v>823</v>
      </c>
      <c r="E591" s="30" t="s">
        <v>66</v>
      </c>
      <c r="F591" s="30" t="s">
        <v>228</v>
      </c>
      <c r="G591" s="41">
        <v>2000</v>
      </c>
      <c r="H591" s="41">
        <v>2000</v>
      </c>
    </row>
    <row r="592" spans="1:8" s="48" customFormat="1" x14ac:dyDescent="0.2">
      <c r="A592" s="80" t="s">
        <v>667</v>
      </c>
      <c r="B592" s="24" t="s">
        <v>722</v>
      </c>
      <c r="C592" s="24" t="s">
        <v>731</v>
      </c>
      <c r="D592" s="24" t="s">
        <v>215</v>
      </c>
      <c r="E592" s="24"/>
      <c r="F592" s="24"/>
      <c r="G592" s="42">
        <f>G593+G616+G640+G652</f>
        <v>214225</v>
      </c>
      <c r="H592" s="42">
        <f>H593+H616+H640+H652</f>
        <v>173625</v>
      </c>
    </row>
    <row r="593" spans="1:8" x14ac:dyDescent="0.2">
      <c r="A593" s="80" t="s">
        <v>668</v>
      </c>
      <c r="B593" s="24" t="s">
        <v>722</v>
      </c>
      <c r="C593" s="24" t="s">
        <v>731</v>
      </c>
      <c r="D593" s="24" t="s">
        <v>214</v>
      </c>
      <c r="E593" s="25"/>
      <c r="F593" s="25"/>
      <c r="G593" s="42">
        <f>G594</f>
        <v>21005</v>
      </c>
      <c r="H593" s="42">
        <f>H594</f>
        <v>22205</v>
      </c>
    </row>
    <row r="594" spans="1:8" ht="40.5" x14ac:dyDescent="0.2">
      <c r="A594" s="86" t="s">
        <v>65</v>
      </c>
      <c r="B594" s="53" t="s">
        <v>722</v>
      </c>
      <c r="C594" s="53" t="s">
        <v>731</v>
      </c>
      <c r="D594" s="53" t="s">
        <v>214</v>
      </c>
      <c r="E594" s="53" t="s">
        <v>410</v>
      </c>
      <c r="F594" s="25"/>
      <c r="G594" s="57">
        <f>G595+G602+G609</f>
        <v>21005</v>
      </c>
      <c r="H594" s="57">
        <f>H595+H602+H609</f>
        <v>22205</v>
      </c>
    </row>
    <row r="595" spans="1:8" ht="24" x14ac:dyDescent="0.2">
      <c r="A595" s="80" t="s">
        <v>197</v>
      </c>
      <c r="B595" s="24" t="s">
        <v>722</v>
      </c>
      <c r="C595" s="24" t="s">
        <v>731</v>
      </c>
      <c r="D595" s="24" t="s">
        <v>214</v>
      </c>
      <c r="E595" s="24" t="s">
        <v>413</v>
      </c>
      <c r="F595" s="24"/>
      <c r="G595" s="42">
        <f>G596+G599</f>
        <v>6000</v>
      </c>
      <c r="H595" s="42">
        <f>H596+H599</f>
        <v>6000</v>
      </c>
    </row>
    <row r="596" spans="1:8" x14ac:dyDescent="0.2">
      <c r="A596" s="83" t="s">
        <v>585</v>
      </c>
      <c r="B596" s="25" t="s">
        <v>722</v>
      </c>
      <c r="C596" s="25" t="s">
        <v>731</v>
      </c>
      <c r="D596" s="25" t="s">
        <v>214</v>
      </c>
      <c r="E596" s="25" t="s">
        <v>586</v>
      </c>
      <c r="F596" s="25"/>
      <c r="G596" s="122">
        <f>G597</f>
        <v>1000</v>
      </c>
      <c r="H596" s="122">
        <f>H597</f>
        <v>1000</v>
      </c>
    </row>
    <row r="597" spans="1:8" x14ac:dyDescent="0.2">
      <c r="A597" s="84" t="s">
        <v>473</v>
      </c>
      <c r="B597" s="30" t="s">
        <v>722</v>
      </c>
      <c r="C597" s="30" t="s">
        <v>731</v>
      </c>
      <c r="D597" s="30" t="s">
        <v>214</v>
      </c>
      <c r="E597" s="30" t="s">
        <v>586</v>
      </c>
      <c r="F597" s="30" t="s">
        <v>226</v>
      </c>
      <c r="G597" s="118">
        <f>G598</f>
        <v>1000</v>
      </c>
      <c r="H597" s="118">
        <f>H598</f>
        <v>1000</v>
      </c>
    </row>
    <row r="598" spans="1:8" ht="24" x14ac:dyDescent="0.2">
      <c r="A598" s="84" t="s">
        <v>227</v>
      </c>
      <c r="B598" s="30" t="s">
        <v>722</v>
      </c>
      <c r="C598" s="30" t="s">
        <v>731</v>
      </c>
      <c r="D598" s="30" t="s">
        <v>214</v>
      </c>
      <c r="E598" s="30" t="s">
        <v>586</v>
      </c>
      <c r="F598" s="30" t="s">
        <v>228</v>
      </c>
      <c r="G598" s="118">
        <v>1000</v>
      </c>
      <c r="H598" s="118">
        <v>1000</v>
      </c>
    </row>
    <row r="599" spans="1:8" x14ac:dyDescent="0.2">
      <c r="A599" s="123" t="s">
        <v>414</v>
      </c>
      <c r="B599" s="25" t="s">
        <v>722</v>
      </c>
      <c r="C599" s="25" t="s">
        <v>731</v>
      </c>
      <c r="D599" s="25" t="s">
        <v>214</v>
      </c>
      <c r="E599" s="124" t="s">
        <v>67</v>
      </c>
      <c r="F599" s="25"/>
      <c r="G599" s="45">
        <f>G600</f>
        <v>5000</v>
      </c>
      <c r="H599" s="45">
        <f>H600</f>
        <v>5000</v>
      </c>
    </row>
    <row r="600" spans="1:8" x14ac:dyDescent="0.2">
      <c r="A600" s="84" t="s">
        <v>473</v>
      </c>
      <c r="B600" s="30" t="s">
        <v>722</v>
      </c>
      <c r="C600" s="30" t="s">
        <v>731</v>
      </c>
      <c r="D600" s="30" t="s">
        <v>214</v>
      </c>
      <c r="E600" s="30" t="s">
        <v>67</v>
      </c>
      <c r="F600" s="30" t="s">
        <v>226</v>
      </c>
      <c r="G600" s="41">
        <f>G601</f>
        <v>5000</v>
      </c>
      <c r="H600" s="41">
        <f>H601</f>
        <v>5000</v>
      </c>
    </row>
    <row r="601" spans="1:8" ht="24" x14ac:dyDescent="0.2">
      <c r="A601" s="84" t="s">
        <v>227</v>
      </c>
      <c r="B601" s="30" t="s">
        <v>722</v>
      </c>
      <c r="C601" s="30" t="s">
        <v>731</v>
      </c>
      <c r="D601" s="30" t="s">
        <v>214</v>
      </c>
      <c r="E601" s="30" t="s">
        <v>67</v>
      </c>
      <c r="F601" s="30" t="s">
        <v>228</v>
      </c>
      <c r="G601" s="41">
        <v>5000</v>
      </c>
      <c r="H601" s="41">
        <v>5000</v>
      </c>
    </row>
    <row r="602" spans="1:8" ht="24" x14ac:dyDescent="0.2">
      <c r="A602" s="80" t="s">
        <v>307</v>
      </c>
      <c r="B602" s="24" t="s">
        <v>758</v>
      </c>
      <c r="C602" s="24" t="s">
        <v>731</v>
      </c>
      <c r="D602" s="24" t="s">
        <v>214</v>
      </c>
      <c r="E602" s="24" t="s">
        <v>276</v>
      </c>
      <c r="F602" s="30"/>
      <c r="G602" s="42">
        <f>G603+G606</f>
        <v>13005</v>
      </c>
      <c r="H602" s="42">
        <f>H603+H606</f>
        <v>13005</v>
      </c>
    </row>
    <row r="603" spans="1:8" ht="24" x14ac:dyDescent="0.2">
      <c r="A603" s="83" t="s">
        <v>757</v>
      </c>
      <c r="B603" s="25" t="s">
        <v>722</v>
      </c>
      <c r="C603" s="25" t="s">
        <v>731</v>
      </c>
      <c r="D603" s="25" t="s">
        <v>214</v>
      </c>
      <c r="E603" s="25" t="s">
        <v>73</v>
      </c>
      <c r="F603" s="25"/>
      <c r="G603" s="45">
        <f>G604</f>
        <v>10495</v>
      </c>
      <c r="H603" s="45">
        <f>H604</f>
        <v>10495</v>
      </c>
    </row>
    <row r="604" spans="1:8" ht="24" x14ac:dyDescent="0.2">
      <c r="A604" s="84" t="s">
        <v>246</v>
      </c>
      <c r="B604" s="30" t="s">
        <v>722</v>
      </c>
      <c r="C604" s="30" t="s">
        <v>731</v>
      </c>
      <c r="D604" s="30" t="s">
        <v>214</v>
      </c>
      <c r="E604" s="30" t="s">
        <v>73</v>
      </c>
      <c r="F604" s="30" t="s">
        <v>702</v>
      </c>
      <c r="G604" s="41">
        <f>G605</f>
        <v>10495</v>
      </c>
      <c r="H604" s="41">
        <f>H605</f>
        <v>10495</v>
      </c>
    </row>
    <row r="605" spans="1:8" ht="24" x14ac:dyDescent="0.2">
      <c r="A605" s="84" t="s">
        <v>290</v>
      </c>
      <c r="B605" s="30" t="s">
        <v>722</v>
      </c>
      <c r="C605" s="30" t="s">
        <v>731</v>
      </c>
      <c r="D605" s="30" t="s">
        <v>214</v>
      </c>
      <c r="E605" s="30" t="s">
        <v>73</v>
      </c>
      <c r="F605" s="30" t="s">
        <v>794</v>
      </c>
      <c r="G605" s="41">
        <v>10495</v>
      </c>
      <c r="H605" s="41">
        <v>10495</v>
      </c>
    </row>
    <row r="606" spans="1:8" ht="24" x14ac:dyDescent="0.2">
      <c r="A606" s="83" t="s">
        <v>319</v>
      </c>
      <c r="B606" s="25" t="s">
        <v>722</v>
      </c>
      <c r="C606" s="25" t="s">
        <v>731</v>
      </c>
      <c r="D606" s="25" t="s">
        <v>214</v>
      </c>
      <c r="E606" s="25" t="s">
        <v>72</v>
      </c>
      <c r="F606" s="25"/>
      <c r="G606" s="122">
        <f>G607</f>
        <v>2510</v>
      </c>
      <c r="H606" s="122">
        <f>H607</f>
        <v>2510</v>
      </c>
    </row>
    <row r="607" spans="1:8" x14ac:dyDescent="0.2">
      <c r="A607" s="84" t="s">
        <v>473</v>
      </c>
      <c r="B607" s="30" t="s">
        <v>722</v>
      </c>
      <c r="C607" s="30" t="s">
        <v>731</v>
      </c>
      <c r="D607" s="30" t="s">
        <v>214</v>
      </c>
      <c r="E607" s="30" t="s">
        <v>72</v>
      </c>
      <c r="F607" s="30" t="s">
        <v>226</v>
      </c>
      <c r="G607" s="118">
        <f>G608</f>
        <v>2510</v>
      </c>
      <c r="H607" s="118">
        <f>H608</f>
        <v>2510</v>
      </c>
    </row>
    <row r="608" spans="1:8" ht="24" x14ac:dyDescent="0.2">
      <c r="A608" s="84" t="s">
        <v>227</v>
      </c>
      <c r="B608" s="30" t="s">
        <v>722</v>
      </c>
      <c r="C608" s="30" t="s">
        <v>731</v>
      </c>
      <c r="D608" s="30" t="s">
        <v>214</v>
      </c>
      <c r="E608" s="30" t="s">
        <v>72</v>
      </c>
      <c r="F608" s="30" t="s">
        <v>228</v>
      </c>
      <c r="G608" s="118">
        <v>2510</v>
      </c>
      <c r="H608" s="118">
        <v>2510</v>
      </c>
    </row>
    <row r="609" spans="1:8" x14ac:dyDescent="0.2">
      <c r="A609" s="80" t="s">
        <v>68</v>
      </c>
      <c r="B609" s="24" t="s">
        <v>758</v>
      </c>
      <c r="C609" s="24" t="s">
        <v>731</v>
      </c>
      <c r="D609" s="24" t="s">
        <v>214</v>
      </c>
      <c r="E609" s="24" t="s">
        <v>69</v>
      </c>
      <c r="F609" s="30"/>
      <c r="G609" s="42">
        <f>G610+G613</f>
        <v>2000</v>
      </c>
      <c r="H609" s="42">
        <f>H610+H613</f>
        <v>3200</v>
      </c>
    </row>
    <row r="610" spans="1:8" ht="36" x14ac:dyDescent="0.2">
      <c r="A610" s="127" t="s">
        <v>852</v>
      </c>
      <c r="B610" s="25" t="s">
        <v>758</v>
      </c>
      <c r="C610" s="25" t="s">
        <v>731</v>
      </c>
      <c r="D610" s="25" t="s">
        <v>214</v>
      </c>
      <c r="E610" s="25" t="s">
        <v>70</v>
      </c>
      <c r="F610" s="25"/>
      <c r="G610" s="45">
        <f>G611</f>
        <v>1000</v>
      </c>
      <c r="H610" s="45">
        <f>H611</f>
        <v>1200</v>
      </c>
    </row>
    <row r="611" spans="1:8" x14ac:dyDescent="0.2">
      <c r="A611" s="84" t="s">
        <v>473</v>
      </c>
      <c r="B611" s="30" t="s">
        <v>722</v>
      </c>
      <c r="C611" s="30" t="s">
        <v>731</v>
      </c>
      <c r="D611" s="30" t="s">
        <v>214</v>
      </c>
      <c r="E611" s="30" t="s">
        <v>70</v>
      </c>
      <c r="F611" s="30" t="s">
        <v>226</v>
      </c>
      <c r="G611" s="41">
        <f>G612</f>
        <v>1000</v>
      </c>
      <c r="H611" s="41">
        <f>H612</f>
        <v>1200</v>
      </c>
    </row>
    <row r="612" spans="1:8" ht="24" x14ac:dyDescent="0.2">
      <c r="A612" s="84" t="s">
        <v>227</v>
      </c>
      <c r="B612" s="30" t="s">
        <v>722</v>
      </c>
      <c r="C612" s="30" t="s">
        <v>731</v>
      </c>
      <c r="D612" s="30" t="s">
        <v>214</v>
      </c>
      <c r="E612" s="30" t="s">
        <v>70</v>
      </c>
      <c r="F612" s="30" t="s">
        <v>228</v>
      </c>
      <c r="G612" s="41">
        <v>1000</v>
      </c>
      <c r="H612" s="41">
        <v>1200</v>
      </c>
    </row>
    <row r="613" spans="1:8" x14ac:dyDescent="0.2">
      <c r="A613" s="123" t="s">
        <v>415</v>
      </c>
      <c r="B613" s="25" t="s">
        <v>758</v>
      </c>
      <c r="C613" s="25" t="s">
        <v>731</v>
      </c>
      <c r="D613" s="25" t="s">
        <v>214</v>
      </c>
      <c r="E613" s="124" t="s">
        <v>71</v>
      </c>
      <c r="F613" s="25"/>
      <c r="G613" s="45">
        <f>G614</f>
        <v>1000</v>
      </c>
      <c r="H613" s="45">
        <f>H614</f>
        <v>2000</v>
      </c>
    </row>
    <row r="614" spans="1:8" x14ac:dyDescent="0.2">
      <c r="A614" s="84" t="s">
        <v>473</v>
      </c>
      <c r="B614" s="30" t="s">
        <v>722</v>
      </c>
      <c r="C614" s="30" t="s">
        <v>731</v>
      </c>
      <c r="D614" s="30" t="s">
        <v>214</v>
      </c>
      <c r="E614" s="30" t="s">
        <v>71</v>
      </c>
      <c r="F614" s="30" t="s">
        <v>226</v>
      </c>
      <c r="G614" s="41">
        <f>G615</f>
        <v>1000</v>
      </c>
      <c r="H614" s="41">
        <f>H615</f>
        <v>2000</v>
      </c>
    </row>
    <row r="615" spans="1:8" ht="24" x14ac:dyDescent="0.2">
      <c r="A615" s="84" t="s">
        <v>227</v>
      </c>
      <c r="B615" s="30" t="s">
        <v>722</v>
      </c>
      <c r="C615" s="30" t="s">
        <v>731</v>
      </c>
      <c r="D615" s="30" t="s">
        <v>214</v>
      </c>
      <c r="E615" s="30" t="s">
        <v>71</v>
      </c>
      <c r="F615" s="30" t="s">
        <v>228</v>
      </c>
      <c r="G615" s="41">
        <v>1000</v>
      </c>
      <c r="H615" s="41">
        <v>2000</v>
      </c>
    </row>
    <row r="616" spans="1:8" x14ac:dyDescent="0.2">
      <c r="A616" s="80" t="s">
        <v>669</v>
      </c>
      <c r="B616" s="24" t="s">
        <v>722</v>
      </c>
      <c r="C616" s="24" t="s">
        <v>731</v>
      </c>
      <c r="D616" s="24" t="s">
        <v>825</v>
      </c>
      <c r="E616" s="24"/>
      <c r="F616" s="24"/>
      <c r="G616" s="42">
        <f>G617</f>
        <v>48800</v>
      </c>
      <c r="H616" s="42">
        <f>H617</f>
        <v>16000</v>
      </c>
    </row>
    <row r="617" spans="1:8" x14ac:dyDescent="0.2">
      <c r="A617" s="83" t="s">
        <v>670</v>
      </c>
      <c r="B617" s="25" t="s">
        <v>722</v>
      </c>
      <c r="C617" s="25" t="s">
        <v>731</v>
      </c>
      <c r="D617" s="25" t="s">
        <v>825</v>
      </c>
      <c r="E617" s="25"/>
      <c r="F617" s="25"/>
      <c r="G617" s="45">
        <f>G618</f>
        <v>48800</v>
      </c>
      <c r="H617" s="45">
        <f>H618</f>
        <v>16000</v>
      </c>
    </row>
    <row r="618" spans="1:8" ht="40.5" x14ac:dyDescent="0.2">
      <c r="A618" s="86" t="s">
        <v>65</v>
      </c>
      <c r="B618" s="53" t="s">
        <v>722</v>
      </c>
      <c r="C618" s="53" t="s">
        <v>731</v>
      </c>
      <c r="D618" s="53" t="s">
        <v>825</v>
      </c>
      <c r="E618" s="53" t="s">
        <v>410</v>
      </c>
      <c r="F618" s="25"/>
      <c r="G618" s="57">
        <f>G619+G629+G633+G636</f>
        <v>48800</v>
      </c>
      <c r="H618" s="57">
        <f>H619+H629+H633+H636</f>
        <v>16000</v>
      </c>
    </row>
    <row r="619" spans="1:8" ht="27" x14ac:dyDescent="0.2">
      <c r="A619" s="86" t="s">
        <v>274</v>
      </c>
      <c r="B619" s="53" t="s">
        <v>722</v>
      </c>
      <c r="C619" s="53" t="s">
        <v>731</v>
      </c>
      <c r="D619" s="53" t="s">
        <v>825</v>
      </c>
      <c r="E619" s="53" t="s">
        <v>416</v>
      </c>
      <c r="F619" s="25"/>
      <c r="G619" s="57">
        <f>G620+G623+G626</f>
        <v>14500</v>
      </c>
      <c r="H619" s="57">
        <f>H620+H623+H626</f>
        <v>3000</v>
      </c>
    </row>
    <row r="620" spans="1:8" x14ac:dyDescent="0.2">
      <c r="A620" s="80" t="s">
        <v>587</v>
      </c>
      <c r="B620" s="24" t="s">
        <v>722</v>
      </c>
      <c r="C620" s="24" t="s">
        <v>731</v>
      </c>
      <c r="D620" s="24" t="s">
        <v>825</v>
      </c>
      <c r="E620" s="24" t="s">
        <v>588</v>
      </c>
      <c r="F620" s="30"/>
      <c r="G620" s="117">
        <f>G621</f>
        <v>12500</v>
      </c>
      <c r="H620" s="117">
        <f>H621</f>
        <v>1000</v>
      </c>
    </row>
    <row r="621" spans="1:8" ht="24" x14ac:dyDescent="0.2">
      <c r="A621" s="84" t="s">
        <v>732</v>
      </c>
      <c r="B621" s="31">
        <v>609</v>
      </c>
      <c r="C621" s="52" t="s">
        <v>731</v>
      </c>
      <c r="D621" s="52" t="s">
        <v>825</v>
      </c>
      <c r="E621" s="30" t="s">
        <v>588</v>
      </c>
      <c r="F621" s="30" t="s">
        <v>733</v>
      </c>
      <c r="G621" s="118">
        <f>G622</f>
        <v>12500</v>
      </c>
      <c r="H621" s="118">
        <f>H622</f>
        <v>1000</v>
      </c>
    </row>
    <row r="622" spans="1:8" x14ac:dyDescent="0.2">
      <c r="A622" s="84" t="s">
        <v>734</v>
      </c>
      <c r="B622" s="30" t="s">
        <v>722</v>
      </c>
      <c r="C622" s="30" t="s">
        <v>731</v>
      </c>
      <c r="D622" s="30" t="s">
        <v>825</v>
      </c>
      <c r="E622" s="30" t="s">
        <v>588</v>
      </c>
      <c r="F622" s="30" t="s">
        <v>735</v>
      </c>
      <c r="G622" s="118">
        <f>1000+11500</f>
        <v>12500</v>
      </c>
      <c r="H622" s="118">
        <v>1000</v>
      </c>
    </row>
    <row r="623" spans="1:8" ht="24" x14ac:dyDescent="0.2">
      <c r="A623" s="80" t="s">
        <v>717</v>
      </c>
      <c r="B623" s="24" t="s">
        <v>722</v>
      </c>
      <c r="C623" s="24" t="s">
        <v>731</v>
      </c>
      <c r="D623" s="24" t="s">
        <v>825</v>
      </c>
      <c r="E623" s="24" t="s">
        <v>76</v>
      </c>
      <c r="F623" s="24"/>
      <c r="G623" s="117">
        <f>G624</f>
        <v>1000</v>
      </c>
      <c r="H623" s="117">
        <f>H624</f>
        <v>1000</v>
      </c>
    </row>
    <row r="624" spans="1:8" x14ac:dyDescent="0.2">
      <c r="A624" s="84" t="s">
        <v>473</v>
      </c>
      <c r="B624" s="30" t="s">
        <v>722</v>
      </c>
      <c r="C624" s="30" t="s">
        <v>731</v>
      </c>
      <c r="D624" s="30" t="s">
        <v>825</v>
      </c>
      <c r="E624" s="30" t="s">
        <v>76</v>
      </c>
      <c r="F624" s="30" t="s">
        <v>226</v>
      </c>
      <c r="G624" s="118">
        <f>G625</f>
        <v>1000</v>
      </c>
      <c r="H624" s="118">
        <f>H625</f>
        <v>1000</v>
      </c>
    </row>
    <row r="625" spans="1:8" ht="24" x14ac:dyDescent="0.2">
      <c r="A625" s="84" t="s">
        <v>227</v>
      </c>
      <c r="B625" s="30" t="s">
        <v>722</v>
      </c>
      <c r="C625" s="30" t="s">
        <v>731</v>
      </c>
      <c r="D625" s="30" t="s">
        <v>825</v>
      </c>
      <c r="E625" s="30" t="s">
        <v>76</v>
      </c>
      <c r="F625" s="30" t="s">
        <v>228</v>
      </c>
      <c r="G625" s="118">
        <v>1000</v>
      </c>
      <c r="H625" s="118">
        <v>1000</v>
      </c>
    </row>
    <row r="626" spans="1:8" ht="24" x14ac:dyDescent="0.2">
      <c r="A626" s="80" t="s">
        <v>77</v>
      </c>
      <c r="B626" s="24" t="s">
        <v>722</v>
      </c>
      <c r="C626" s="24" t="s">
        <v>731</v>
      </c>
      <c r="D626" s="24" t="s">
        <v>825</v>
      </c>
      <c r="E626" s="24" t="s">
        <v>78</v>
      </c>
      <c r="F626" s="24"/>
      <c r="G626" s="117">
        <f>G627</f>
        <v>1000</v>
      </c>
      <c r="H626" s="117">
        <f>H627</f>
        <v>1000</v>
      </c>
    </row>
    <row r="627" spans="1:8" x14ac:dyDescent="0.2">
      <c r="A627" s="84" t="s">
        <v>473</v>
      </c>
      <c r="B627" s="30" t="s">
        <v>722</v>
      </c>
      <c r="C627" s="30" t="s">
        <v>731</v>
      </c>
      <c r="D627" s="30" t="s">
        <v>825</v>
      </c>
      <c r="E627" s="30" t="s">
        <v>78</v>
      </c>
      <c r="F627" s="30" t="s">
        <v>226</v>
      </c>
      <c r="G627" s="118">
        <f>G628</f>
        <v>1000</v>
      </c>
      <c r="H627" s="118">
        <f>H628</f>
        <v>1000</v>
      </c>
    </row>
    <row r="628" spans="1:8" ht="24" x14ac:dyDescent="0.2">
      <c r="A628" s="84" t="s">
        <v>227</v>
      </c>
      <c r="B628" s="30" t="s">
        <v>722</v>
      </c>
      <c r="C628" s="30" t="s">
        <v>731</v>
      </c>
      <c r="D628" s="30" t="s">
        <v>825</v>
      </c>
      <c r="E628" s="30" t="s">
        <v>78</v>
      </c>
      <c r="F628" s="30" t="s">
        <v>228</v>
      </c>
      <c r="G628" s="118">
        <v>1000</v>
      </c>
      <c r="H628" s="118">
        <v>1000</v>
      </c>
    </row>
    <row r="629" spans="1:8" ht="24" x14ac:dyDescent="0.2">
      <c r="A629" s="80" t="s">
        <v>719</v>
      </c>
      <c r="B629" s="24" t="s">
        <v>722</v>
      </c>
      <c r="C629" s="24" t="s">
        <v>731</v>
      </c>
      <c r="D629" s="24" t="s">
        <v>825</v>
      </c>
      <c r="E629" s="24" t="s">
        <v>308</v>
      </c>
      <c r="F629" s="30"/>
      <c r="G629" s="42">
        <f t="shared" ref="G629:H631" si="31">G630</f>
        <v>26800</v>
      </c>
      <c r="H629" s="42">
        <f t="shared" si="31"/>
        <v>10000</v>
      </c>
    </row>
    <row r="630" spans="1:8" ht="24" x14ac:dyDescent="0.2">
      <c r="A630" s="83" t="s">
        <v>720</v>
      </c>
      <c r="B630" s="25" t="s">
        <v>722</v>
      </c>
      <c r="C630" s="25" t="s">
        <v>731</v>
      </c>
      <c r="D630" s="25" t="s">
        <v>825</v>
      </c>
      <c r="E630" s="25" t="s">
        <v>74</v>
      </c>
      <c r="F630" s="33"/>
      <c r="G630" s="45">
        <f t="shared" si="31"/>
        <v>26800</v>
      </c>
      <c r="H630" s="45">
        <f t="shared" si="31"/>
        <v>10000</v>
      </c>
    </row>
    <row r="631" spans="1:8" ht="24" x14ac:dyDescent="0.2">
      <c r="A631" s="84" t="s">
        <v>732</v>
      </c>
      <c r="B631" s="31">
        <v>609</v>
      </c>
      <c r="C631" s="52" t="s">
        <v>731</v>
      </c>
      <c r="D631" s="52" t="s">
        <v>825</v>
      </c>
      <c r="E631" s="30" t="s">
        <v>74</v>
      </c>
      <c r="F631" s="30" t="s">
        <v>733</v>
      </c>
      <c r="G631" s="41">
        <f t="shared" si="31"/>
        <v>26800</v>
      </c>
      <c r="H631" s="41">
        <f t="shared" si="31"/>
        <v>10000</v>
      </c>
    </row>
    <row r="632" spans="1:8" x14ac:dyDescent="0.2">
      <c r="A632" s="84" t="s">
        <v>734</v>
      </c>
      <c r="B632" s="30" t="s">
        <v>722</v>
      </c>
      <c r="C632" s="30" t="s">
        <v>731</v>
      </c>
      <c r="D632" s="30" t="s">
        <v>825</v>
      </c>
      <c r="E632" s="30" t="s">
        <v>74</v>
      </c>
      <c r="F632" s="30" t="s">
        <v>735</v>
      </c>
      <c r="G632" s="41">
        <f>30800-4000</f>
        <v>26800</v>
      </c>
      <c r="H632" s="41">
        <f>38000-28000</f>
        <v>10000</v>
      </c>
    </row>
    <row r="633" spans="1:8" ht="24" x14ac:dyDescent="0.2">
      <c r="A633" s="80" t="s">
        <v>309</v>
      </c>
      <c r="B633" s="24" t="s">
        <v>722</v>
      </c>
      <c r="C633" s="24" t="s">
        <v>731</v>
      </c>
      <c r="D633" s="24" t="s">
        <v>825</v>
      </c>
      <c r="E633" s="24" t="s">
        <v>75</v>
      </c>
      <c r="F633" s="24"/>
      <c r="G633" s="42">
        <f>G634</f>
        <v>2500</v>
      </c>
      <c r="H633" s="42">
        <f>H634</f>
        <v>1000</v>
      </c>
    </row>
    <row r="634" spans="1:8" x14ac:dyDescent="0.2">
      <c r="A634" s="84" t="s">
        <v>473</v>
      </c>
      <c r="B634" s="30" t="s">
        <v>722</v>
      </c>
      <c r="C634" s="30" t="s">
        <v>731</v>
      </c>
      <c r="D634" s="30" t="s">
        <v>825</v>
      </c>
      <c r="E634" s="30" t="s">
        <v>75</v>
      </c>
      <c r="F634" s="30" t="s">
        <v>226</v>
      </c>
      <c r="G634" s="41">
        <f>G635</f>
        <v>2500</v>
      </c>
      <c r="H634" s="41">
        <f>H635</f>
        <v>1000</v>
      </c>
    </row>
    <row r="635" spans="1:8" ht="24" x14ac:dyDescent="0.2">
      <c r="A635" s="84" t="s">
        <v>227</v>
      </c>
      <c r="B635" s="30" t="s">
        <v>722</v>
      </c>
      <c r="C635" s="30" t="s">
        <v>731</v>
      </c>
      <c r="D635" s="30" t="s">
        <v>825</v>
      </c>
      <c r="E635" s="30" t="s">
        <v>75</v>
      </c>
      <c r="F635" s="30" t="s">
        <v>228</v>
      </c>
      <c r="G635" s="41">
        <f>10000-7500</f>
        <v>2500</v>
      </c>
      <c r="H635" s="41">
        <f>5500-4500</f>
        <v>1000</v>
      </c>
    </row>
    <row r="636" spans="1:8" ht="24" x14ac:dyDescent="0.2">
      <c r="A636" s="80" t="s">
        <v>754</v>
      </c>
      <c r="B636" s="24" t="s">
        <v>758</v>
      </c>
      <c r="C636" s="24" t="s">
        <v>731</v>
      </c>
      <c r="D636" s="24" t="s">
        <v>825</v>
      </c>
      <c r="E636" s="24" t="s">
        <v>276</v>
      </c>
      <c r="F636" s="30"/>
      <c r="G636" s="117">
        <f t="shared" ref="G636:H638" si="32">G637</f>
        <v>5000</v>
      </c>
      <c r="H636" s="117">
        <f t="shared" si="32"/>
        <v>2000</v>
      </c>
    </row>
    <row r="637" spans="1:8" x14ac:dyDescent="0.2">
      <c r="A637" s="83" t="s">
        <v>589</v>
      </c>
      <c r="B637" s="25" t="s">
        <v>722</v>
      </c>
      <c r="C637" s="25" t="s">
        <v>731</v>
      </c>
      <c r="D637" s="25" t="s">
        <v>825</v>
      </c>
      <c r="E637" s="25" t="s">
        <v>590</v>
      </c>
      <c r="F637" s="25"/>
      <c r="G637" s="122">
        <f t="shared" si="32"/>
        <v>5000</v>
      </c>
      <c r="H637" s="122">
        <f t="shared" si="32"/>
        <v>2000</v>
      </c>
    </row>
    <row r="638" spans="1:8" x14ac:dyDescent="0.2">
      <c r="A638" s="84" t="s">
        <v>473</v>
      </c>
      <c r="B638" s="30" t="s">
        <v>722</v>
      </c>
      <c r="C638" s="30" t="s">
        <v>731</v>
      </c>
      <c r="D638" s="30" t="s">
        <v>825</v>
      </c>
      <c r="E638" s="30" t="s">
        <v>590</v>
      </c>
      <c r="F638" s="30" t="s">
        <v>226</v>
      </c>
      <c r="G638" s="118">
        <f t="shared" si="32"/>
        <v>5000</v>
      </c>
      <c r="H638" s="118">
        <f t="shared" si="32"/>
        <v>2000</v>
      </c>
    </row>
    <row r="639" spans="1:8" ht="24" x14ac:dyDescent="0.2">
      <c r="A639" s="84" t="s">
        <v>227</v>
      </c>
      <c r="B639" s="30" t="s">
        <v>722</v>
      </c>
      <c r="C639" s="30" t="s">
        <v>731</v>
      </c>
      <c r="D639" s="30" t="s">
        <v>825</v>
      </c>
      <c r="E639" s="30" t="s">
        <v>590</v>
      </c>
      <c r="F639" s="30" t="s">
        <v>228</v>
      </c>
      <c r="G639" s="118">
        <v>5000</v>
      </c>
      <c r="H639" s="118">
        <f>5000-3000</f>
        <v>2000</v>
      </c>
    </row>
    <row r="640" spans="1:8" x14ac:dyDescent="0.2">
      <c r="A640" s="80" t="s">
        <v>671</v>
      </c>
      <c r="B640" s="24" t="s">
        <v>722</v>
      </c>
      <c r="C640" s="24" t="s">
        <v>731</v>
      </c>
      <c r="D640" s="24" t="s">
        <v>817</v>
      </c>
      <c r="E640" s="24"/>
      <c r="F640" s="24"/>
      <c r="G640" s="42">
        <f>G641</f>
        <v>125500</v>
      </c>
      <c r="H640" s="42">
        <f>H641</f>
        <v>116500</v>
      </c>
    </row>
    <row r="641" spans="1:8" ht="40.5" x14ac:dyDescent="0.2">
      <c r="A641" s="86" t="s">
        <v>65</v>
      </c>
      <c r="B641" s="53" t="s">
        <v>722</v>
      </c>
      <c r="C641" s="53" t="s">
        <v>731</v>
      </c>
      <c r="D641" s="53" t="s">
        <v>817</v>
      </c>
      <c r="E641" s="53" t="s">
        <v>410</v>
      </c>
      <c r="F641" s="53"/>
      <c r="G641" s="57">
        <f>G642</f>
        <v>125500</v>
      </c>
      <c r="H641" s="57">
        <f>H642</f>
        <v>116500</v>
      </c>
    </row>
    <row r="642" spans="1:8" ht="24" x14ac:dyDescent="0.2">
      <c r="A642" s="80" t="s">
        <v>754</v>
      </c>
      <c r="B642" s="24" t="s">
        <v>758</v>
      </c>
      <c r="C642" s="24" t="s">
        <v>731</v>
      </c>
      <c r="D642" s="24" t="s">
        <v>817</v>
      </c>
      <c r="E642" s="24" t="s">
        <v>276</v>
      </c>
      <c r="F642" s="24"/>
      <c r="G642" s="42">
        <f>G643+G646+G649</f>
        <v>125500</v>
      </c>
      <c r="H642" s="42">
        <f>H643+H646+H649</f>
        <v>116500</v>
      </c>
    </row>
    <row r="643" spans="1:8" ht="24" x14ac:dyDescent="0.2">
      <c r="A643" s="83" t="s">
        <v>198</v>
      </c>
      <c r="B643" s="25" t="s">
        <v>758</v>
      </c>
      <c r="C643" s="25" t="s">
        <v>731</v>
      </c>
      <c r="D643" s="25" t="s">
        <v>817</v>
      </c>
      <c r="E643" s="25" t="s">
        <v>79</v>
      </c>
      <c r="F643" s="33"/>
      <c r="G643" s="45">
        <f>G644</f>
        <v>21500</v>
      </c>
      <c r="H643" s="45">
        <f>H644</f>
        <v>21500</v>
      </c>
    </row>
    <row r="644" spans="1:8" ht="24" x14ac:dyDescent="0.2">
      <c r="A644" s="84" t="s">
        <v>246</v>
      </c>
      <c r="B644" s="30" t="s">
        <v>722</v>
      </c>
      <c r="C644" s="30" t="s">
        <v>731</v>
      </c>
      <c r="D644" s="30" t="s">
        <v>817</v>
      </c>
      <c r="E644" s="30" t="s">
        <v>79</v>
      </c>
      <c r="F644" s="30" t="s">
        <v>702</v>
      </c>
      <c r="G644" s="41">
        <f>G645</f>
        <v>21500</v>
      </c>
      <c r="H644" s="41">
        <f>H645</f>
        <v>21500</v>
      </c>
    </row>
    <row r="645" spans="1:8" x14ac:dyDescent="0.2">
      <c r="A645" s="84" t="s">
        <v>247</v>
      </c>
      <c r="B645" s="30" t="s">
        <v>722</v>
      </c>
      <c r="C645" s="30" t="s">
        <v>731</v>
      </c>
      <c r="D645" s="30" t="s">
        <v>817</v>
      </c>
      <c r="E645" s="30" t="s">
        <v>79</v>
      </c>
      <c r="F645" s="30" t="s">
        <v>724</v>
      </c>
      <c r="G645" s="41">
        <v>21500</v>
      </c>
      <c r="H645" s="41">
        <v>21500</v>
      </c>
    </row>
    <row r="646" spans="1:8" x14ac:dyDescent="0.2">
      <c r="A646" s="83" t="s">
        <v>417</v>
      </c>
      <c r="B646" s="25" t="s">
        <v>722</v>
      </c>
      <c r="C646" s="25" t="s">
        <v>731</v>
      </c>
      <c r="D646" s="25" t="s">
        <v>817</v>
      </c>
      <c r="E646" s="25" t="s">
        <v>80</v>
      </c>
      <c r="F646" s="25"/>
      <c r="G646" s="45">
        <f>G647</f>
        <v>70000</v>
      </c>
      <c r="H646" s="45">
        <f>H647</f>
        <v>65000</v>
      </c>
    </row>
    <row r="647" spans="1:8" x14ac:dyDescent="0.2">
      <c r="A647" s="84" t="s">
        <v>473</v>
      </c>
      <c r="B647" s="30" t="s">
        <v>722</v>
      </c>
      <c r="C647" s="30" t="s">
        <v>731</v>
      </c>
      <c r="D647" s="30" t="s">
        <v>817</v>
      </c>
      <c r="E647" s="30" t="s">
        <v>80</v>
      </c>
      <c r="F647" s="30" t="s">
        <v>226</v>
      </c>
      <c r="G647" s="41">
        <f>G648</f>
        <v>70000</v>
      </c>
      <c r="H647" s="41">
        <f>H648</f>
        <v>65000</v>
      </c>
    </row>
    <row r="648" spans="1:8" ht="24" x14ac:dyDescent="0.2">
      <c r="A648" s="84" t="s">
        <v>227</v>
      </c>
      <c r="B648" s="30" t="s">
        <v>722</v>
      </c>
      <c r="C648" s="30" t="s">
        <v>731</v>
      </c>
      <c r="D648" s="30" t="s">
        <v>817</v>
      </c>
      <c r="E648" s="30" t="s">
        <v>80</v>
      </c>
      <c r="F648" s="30" t="s">
        <v>228</v>
      </c>
      <c r="G648" s="41">
        <f>70000</f>
        <v>70000</v>
      </c>
      <c r="H648" s="41">
        <f>70000-5000</f>
        <v>65000</v>
      </c>
    </row>
    <row r="649" spans="1:8" ht="48" x14ac:dyDescent="0.2">
      <c r="A649" s="62" t="s">
        <v>612</v>
      </c>
      <c r="B649" s="25" t="s">
        <v>722</v>
      </c>
      <c r="C649" s="25" t="s">
        <v>731</v>
      </c>
      <c r="D649" s="25" t="s">
        <v>817</v>
      </c>
      <c r="E649" s="25" t="s">
        <v>81</v>
      </c>
      <c r="F649" s="25"/>
      <c r="G649" s="122">
        <f>G650</f>
        <v>34000</v>
      </c>
      <c r="H649" s="122">
        <f>H650</f>
        <v>30000</v>
      </c>
    </row>
    <row r="650" spans="1:8" x14ac:dyDescent="0.2">
      <c r="A650" s="84" t="s">
        <v>229</v>
      </c>
      <c r="B650" s="30" t="s">
        <v>722</v>
      </c>
      <c r="C650" s="30" t="s">
        <v>731</v>
      </c>
      <c r="D650" s="30" t="s">
        <v>817</v>
      </c>
      <c r="E650" s="30" t="s">
        <v>81</v>
      </c>
      <c r="F650" s="30" t="s">
        <v>230</v>
      </c>
      <c r="G650" s="118">
        <f>G651</f>
        <v>34000</v>
      </c>
      <c r="H650" s="118">
        <f>H651</f>
        <v>30000</v>
      </c>
    </row>
    <row r="651" spans="1:8" ht="24" x14ac:dyDescent="0.2">
      <c r="A651" s="84" t="s">
        <v>105</v>
      </c>
      <c r="B651" s="30" t="s">
        <v>722</v>
      </c>
      <c r="C651" s="30" t="s">
        <v>731</v>
      </c>
      <c r="D651" s="30" t="s">
        <v>817</v>
      </c>
      <c r="E651" s="30" t="s">
        <v>81</v>
      </c>
      <c r="F651" s="30" t="s">
        <v>729</v>
      </c>
      <c r="G651" s="118">
        <v>34000</v>
      </c>
      <c r="H651" s="118">
        <f>34000-4000</f>
        <v>30000</v>
      </c>
    </row>
    <row r="652" spans="1:8" x14ac:dyDescent="0.2">
      <c r="A652" s="80" t="s">
        <v>672</v>
      </c>
      <c r="B652" s="24" t="s">
        <v>722</v>
      </c>
      <c r="C652" s="24" t="s">
        <v>731</v>
      </c>
      <c r="D652" s="24" t="s">
        <v>731</v>
      </c>
      <c r="E652" s="24"/>
      <c r="F652" s="24"/>
      <c r="G652" s="42">
        <f>G653</f>
        <v>18920</v>
      </c>
      <c r="H652" s="42">
        <f>H653</f>
        <v>18920</v>
      </c>
    </row>
    <row r="653" spans="1:8" ht="40.5" x14ac:dyDescent="0.2">
      <c r="A653" s="86" t="s">
        <v>65</v>
      </c>
      <c r="B653" s="53" t="s">
        <v>722</v>
      </c>
      <c r="C653" s="53" t="s">
        <v>731</v>
      </c>
      <c r="D653" s="53" t="s">
        <v>731</v>
      </c>
      <c r="E653" s="53" t="s">
        <v>410</v>
      </c>
      <c r="F653" s="53"/>
      <c r="G653" s="57">
        <f>G654+G665</f>
        <v>18920</v>
      </c>
      <c r="H653" s="57">
        <f>H654+H665</f>
        <v>18920</v>
      </c>
    </row>
    <row r="654" spans="1:8" s="48" customFormat="1" ht="24" x14ac:dyDescent="0.2">
      <c r="A654" s="80" t="s">
        <v>754</v>
      </c>
      <c r="B654" s="24" t="s">
        <v>722</v>
      </c>
      <c r="C654" s="24" t="s">
        <v>731</v>
      </c>
      <c r="D654" s="24" t="s">
        <v>731</v>
      </c>
      <c r="E654" s="24" t="s">
        <v>276</v>
      </c>
      <c r="F654" s="30"/>
      <c r="G654" s="42">
        <f>G655</f>
        <v>12650</v>
      </c>
      <c r="H654" s="42">
        <f>H655</f>
        <v>12650</v>
      </c>
    </row>
    <row r="655" spans="1:8" ht="24" x14ac:dyDescent="0.2">
      <c r="A655" s="80" t="s">
        <v>419</v>
      </c>
      <c r="B655" s="24" t="s">
        <v>722</v>
      </c>
      <c r="C655" s="24" t="s">
        <v>731</v>
      </c>
      <c r="D655" s="24" t="s">
        <v>731</v>
      </c>
      <c r="E655" s="24" t="s">
        <v>276</v>
      </c>
      <c r="F655" s="30"/>
      <c r="G655" s="42">
        <f>G656</f>
        <v>12650</v>
      </c>
      <c r="H655" s="42">
        <f>H656</f>
        <v>12650</v>
      </c>
    </row>
    <row r="656" spans="1:8" ht="36" x14ac:dyDescent="0.2">
      <c r="A656" s="83" t="s">
        <v>704</v>
      </c>
      <c r="B656" s="25" t="s">
        <v>722</v>
      </c>
      <c r="C656" s="25" t="s">
        <v>731</v>
      </c>
      <c r="D656" s="25" t="s">
        <v>731</v>
      </c>
      <c r="E656" s="25" t="s">
        <v>276</v>
      </c>
      <c r="F656" s="25"/>
      <c r="G656" s="45">
        <f>G657+G660</f>
        <v>12650</v>
      </c>
      <c r="H656" s="45">
        <f>H657+H660</f>
        <v>12650</v>
      </c>
    </row>
    <row r="657" spans="1:8" ht="24" x14ac:dyDescent="0.2">
      <c r="A657" s="82" t="s">
        <v>685</v>
      </c>
      <c r="B657" s="24" t="s">
        <v>722</v>
      </c>
      <c r="C657" s="24" t="s">
        <v>731</v>
      </c>
      <c r="D657" s="24" t="s">
        <v>731</v>
      </c>
      <c r="E657" s="24" t="s">
        <v>82</v>
      </c>
      <c r="F657" s="24"/>
      <c r="G657" s="42">
        <f>G658</f>
        <v>11298</v>
      </c>
      <c r="H657" s="42">
        <f>H658</f>
        <v>11298</v>
      </c>
    </row>
    <row r="658" spans="1:8" ht="36" x14ac:dyDescent="0.2">
      <c r="A658" s="84" t="s">
        <v>217</v>
      </c>
      <c r="B658" s="30" t="s">
        <v>722</v>
      </c>
      <c r="C658" s="30" t="s">
        <v>731</v>
      </c>
      <c r="D658" s="30" t="s">
        <v>731</v>
      </c>
      <c r="E658" s="30" t="s">
        <v>82</v>
      </c>
      <c r="F658" s="30" t="s">
        <v>218</v>
      </c>
      <c r="G658" s="41">
        <f>G659</f>
        <v>11298</v>
      </c>
      <c r="H658" s="41">
        <f>H659</f>
        <v>11298</v>
      </c>
    </row>
    <row r="659" spans="1:8" x14ac:dyDescent="0.2">
      <c r="A659" s="84" t="s">
        <v>219</v>
      </c>
      <c r="B659" s="30" t="s">
        <v>722</v>
      </c>
      <c r="C659" s="30" t="s">
        <v>731</v>
      </c>
      <c r="D659" s="30" t="s">
        <v>731</v>
      </c>
      <c r="E659" s="30" t="s">
        <v>82</v>
      </c>
      <c r="F659" s="30" t="s">
        <v>224</v>
      </c>
      <c r="G659" s="41">
        <f>8600+2698</f>
        <v>11298</v>
      </c>
      <c r="H659" s="41">
        <f>8600+2698</f>
        <v>11298</v>
      </c>
    </row>
    <row r="660" spans="1:8" x14ac:dyDescent="0.2">
      <c r="A660" s="80" t="s">
        <v>225</v>
      </c>
      <c r="B660" s="24" t="s">
        <v>722</v>
      </c>
      <c r="C660" s="24" t="s">
        <v>731</v>
      </c>
      <c r="D660" s="24" t="s">
        <v>731</v>
      </c>
      <c r="E660" s="24" t="s">
        <v>83</v>
      </c>
      <c r="F660" s="24"/>
      <c r="G660" s="42">
        <f>G661+G663</f>
        <v>1352</v>
      </c>
      <c r="H660" s="42">
        <f>H661+H663</f>
        <v>1352</v>
      </c>
    </row>
    <row r="661" spans="1:8" x14ac:dyDescent="0.2">
      <c r="A661" s="84" t="s">
        <v>473</v>
      </c>
      <c r="B661" s="30" t="s">
        <v>722</v>
      </c>
      <c r="C661" s="30" t="s">
        <v>731</v>
      </c>
      <c r="D661" s="30" t="s">
        <v>731</v>
      </c>
      <c r="E661" s="30" t="s">
        <v>83</v>
      </c>
      <c r="F661" s="30" t="s">
        <v>226</v>
      </c>
      <c r="G661" s="41">
        <f>G662</f>
        <v>1322</v>
      </c>
      <c r="H661" s="41">
        <f>H662</f>
        <v>1322</v>
      </c>
    </row>
    <row r="662" spans="1:8" ht="24" x14ac:dyDescent="0.2">
      <c r="A662" s="84" t="s">
        <v>227</v>
      </c>
      <c r="B662" s="30" t="s">
        <v>722</v>
      </c>
      <c r="C662" s="30" t="s">
        <v>731</v>
      </c>
      <c r="D662" s="30" t="s">
        <v>731</v>
      </c>
      <c r="E662" s="30" t="s">
        <v>83</v>
      </c>
      <c r="F662" s="30" t="s">
        <v>228</v>
      </c>
      <c r="G662" s="41">
        <v>1322</v>
      </c>
      <c r="H662" s="41">
        <v>1322</v>
      </c>
    </row>
    <row r="663" spans="1:8" x14ac:dyDescent="0.2">
      <c r="A663" s="84" t="s">
        <v>229</v>
      </c>
      <c r="B663" s="30" t="s">
        <v>722</v>
      </c>
      <c r="C663" s="30" t="s">
        <v>731</v>
      </c>
      <c r="D663" s="30" t="s">
        <v>731</v>
      </c>
      <c r="E663" s="30" t="s">
        <v>83</v>
      </c>
      <c r="F663" s="30" t="s">
        <v>230</v>
      </c>
      <c r="G663" s="41">
        <f>G664</f>
        <v>30</v>
      </c>
      <c r="H663" s="41">
        <f>H664</f>
        <v>30</v>
      </c>
    </row>
    <row r="664" spans="1:8" x14ac:dyDescent="0.2">
      <c r="A664" s="84" t="s">
        <v>106</v>
      </c>
      <c r="B664" s="30" t="s">
        <v>722</v>
      </c>
      <c r="C664" s="30" t="s">
        <v>731</v>
      </c>
      <c r="D664" s="30" t="s">
        <v>731</v>
      </c>
      <c r="E664" s="30" t="s">
        <v>83</v>
      </c>
      <c r="F664" s="30" t="s">
        <v>231</v>
      </c>
      <c r="G664" s="41">
        <v>30</v>
      </c>
      <c r="H664" s="41">
        <v>30</v>
      </c>
    </row>
    <row r="665" spans="1:8" ht="24" x14ac:dyDescent="0.2">
      <c r="A665" s="75" t="s">
        <v>199</v>
      </c>
      <c r="B665" s="24" t="s">
        <v>722</v>
      </c>
      <c r="C665" s="24" t="s">
        <v>731</v>
      </c>
      <c r="D665" s="24" t="s">
        <v>731</v>
      </c>
      <c r="E665" s="43" t="s">
        <v>84</v>
      </c>
      <c r="F665" s="24"/>
      <c r="G665" s="42">
        <f>G666</f>
        <v>6270</v>
      </c>
      <c r="H665" s="42">
        <f>H666</f>
        <v>6270</v>
      </c>
    </row>
    <row r="666" spans="1:8" ht="24" x14ac:dyDescent="0.2">
      <c r="A666" s="85" t="s">
        <v>819</v>
      </c>
      <c r="B666" s="33" t="s">
        <v>722</v>
      </c>
      <c r="C666" s="33" t="s">
        <v>731</v>
      </c>
      <c r="D666" s="33" t="s">
        <v>731</v>
      </c>
      <c r="E666" s="33" t="s">
        <v>84</v>
      </c>
      <c r="F666" s="33"/>
      <c r="G666" s="101">
        <f>G667+G669+G671</f>
        <v>6270</v>
      </c>
      <c r="H666" s="101">
        <f>H667+H669+H671</f>
        <v>6270</v>
      </c>
    </row>
    <row r="667" spans="1:8" ht="36" x14ac:dyDescent="0.2">
      <c r="A667" s="84" t="s">
        <v>217</v>
      </c>
      <c r="B667" s="30" t="s">
        <v>722</v>
      </c>
      <c r="C667" s="30" t="s">
        <v>731</v>
      </c>
      <c r="D667" s="30" t="s">
        <v>731</v>
      </c>
      <c r="E667" s="30" t="s">
        <v>84</v>
      </c>
      <c r="F667" s="30" t="s">
        <v>218</v>
      </c>
      <c r="G667" s="41">
        <f>G668</f>
        <v>4550</v>
      </c>
      <c r="H667" s="41">
        <f>H668</f>
        <v>4550</v>
      </c>
    </row>
    <row r="668" spans="1:8" x14ac:dyDescent="0.2">
      <c r="A668" s="84" t="s">
        <v>820</v>
      </c>
      <c r="B668" s="30" t="s">
        <v>722</v>
      </c>
      <c r="C668" s="30" t="s">
        <v>731</v>
      </c>
      <c r="D668" s="30" t="s">
        <v>731</v>
      </c>
      <c r="E668" s="30" t="s">
        <v>84</v>
      </c>
      <c r="F668" s="30" t="s">
        <v>821</v>
      </c>
      <c r="G668" s="41">
        <f>2500+750+1000+300</f>
        <v>4550</v>
      </c>
      <c r="H668" s="41">
        <f>2500+750+1000+300</f>
        <v>4550</v>
      </c>
    </row>
    <row r="669" spans="1:8" x14ac:dyDescent="0.2">
      <c r="A669" s="84" t="s">
        <v>473</v>
      </c>
      <c r="B669" s="30" t="s">
        <v>722</v>
      </c>
      <c r="C669" s="30" t="s">
        <v>731</v>
      </c>
      <c r="D669" s="30" t="s">
        <v>731</v>
      </c>
      <c r="E669" s="30" t="s">
        <v>84</v>
      </c>
      <c r="F669" s="30" t="s">
        <v>226</v>
      </c>
      <c r="G669" s="41">
        <f>G670</f>
        <v>1299</v>
      </c>
      <c r="H669" s="41">
        <f>H670</f>
        <v>1299</v>
      </c>
    </row>
    <row r="670" spans="1:8" ht="24" x14ac:dyDescent="0.2">
      <c r="A670" s="84" t="s">
        <v>227</v>
      </c>
      <c r="B670" s="30" t="s">
        <v>722</v>
      </c>
      <c r="C670" s="30" t="s">
        <v>731</v>
      </c>
      <c r="D670" s="30" t="s">
        <v>731</v>
      </c>
      <c r="E670" s="30" t="s">
        <v>84</v>
      </c>
      <c r="F670" s="30" t="s">
        <v>228</v>
      </c>
      <c r="G670" s="41">
        <v>1299</v>
      </c>
      <c r="H670" s="41">
        <v>1299</v>
      </c>
    </row>
    <row r="671" spans="1:8" x14ac:dyDescent="0.2">
      <c r="A671" s="84" t="s">
        <v>229</v>
      </c>
      <c r="B671" s="30" t="s">
        <v>722</v>
      </c>
      <c r="C671" s="30" t="s">
        <v>731</v>
      </c>
      <c r="D671" s="30" t="s">
        <v>731</v>
      </c>
      <c r="E671" s="30" t="s">
        <v>84</v>
      </c>
      <c r="F671" s="30" t="s">
        <v>230</v>
      </c>
      <c r="G671" s="41">
        <f>G672</f>
        <v>421</v>
      </c>
      <c r="H671" s="41">
        <f>H672</f>
        <v>421</v>
      </c>
    </row>
    <row r="672" spans="1:8" x14ac:dyDescent="0.2">
      <c r="A672" s="84" t="s">
        <v>106</v>
      </c>
      <c r="B672" s="30" t="s">
        <v>722</v>
      </c>
      <c r="C672" s="30" t="s">
        <v>731</v>
      </c>
      <c r="D672" s="30" t="s">
        <v>731</v>
      </c>
      <c r="E672" s="30" t="s">
        <v>84</v>
      </c>
      <c r="F672" s="30" t="s">
        <v>231</v>
      </c>
      <c r="G672" s="41">
        <f>412+9</f>
        <v>421</v>
      </c>
      <c r="H672" s="41">
        <f>412+9</f>
        <v>421</v>
      </c>
    </row>
    <row r="673" spans="1:8" ht="31.5" x14ac:dyDescent="0.2">
      <c r="A673" s="79" t="s">
        <v>723</v>
      </c>
      <c r="B673" s="46" t="s">
        <v>724</v>
      </c>
      <c r="C673" s="47"/>
      <c r="D673" s="47"/>
      <c r="E673" s="46"/>
      <c r="F673" s="46"/>
      <c r="G673" s="102">
        <f>G674+G691</f>
        <v>128389</v>
      </c>
      <c r="H673" s="102">
        <f>H674+H691</f>
        <v>138389</v>
      </c>
    </row>
    <row r="674" spans="1:8" x14ac:dyDescent="0.2">
      <c r="A674" s="80" t="s">
        <v>256</v>
      </c>
      <c r="B674" s="24" t="s">
        <v>724</v>
      </c>
      <c r="C674" s="24" t="s">
        <v>214</v>
      </c>
      <c r="D674" s="24" t="s">
        <v>215</v>
      </c>
      <c r="E674" s="24"/>
      <c r="F674" s="24"/>
      <c r="G674" s="42">
        <f>G675+G686</f>
        <v>16389</v>
      </c>
      <c r="H674" s="42">
        <f>H675+H686</f>
        <v>16389</v>
      </c>
    </row>
    <row r="675" spans="1:8" ht="24" x14ac:dyDescent="0.2">
      <c r="A675" s="80" t="s">
        <v>506</v>
      </c>
      <c r="B675" s="24" t="s">
        <v>724</v>
      </c>
      <c r="C675" s="24" t="s">
        <v>214</v>
      </c>
      <c r="D675" s="24" t="s">
        <v>474</v>
      </c>
      <c r="E675" s="24"/>
      <c r="F675" s="24"/>
      <c r="G675" s="42">
        <f>G676</f>
        <v>15389</v>
      </c>
      <c r="H675" s="42">
        <f>H676</f>
        <v>15389</v>
      </c>
    </row>
    <row r="676" spans="1:8" ht="24" x14ac:dyDescent="0.2">
      <c r="A676" s="81" t="s">
        <v>517</v>
      </c>
      <c r="B676" s="25" t="s">
        <v>724</v>
      </c>
      <c r="C676" s="25" t="s">
        <v>214</v>
      </c>
      <c r="D676" s="25" t="s">
        <v>474</v>
      </c>
      <c r="E676" s="25" t="s">
        <v>382</v>
      </c>
      <c r="F676" s="16"/>
      <c r="G676" s="99">
        <f>G677</f>
        <v>15389</v>
      </c>
      <c r="H676" s="99">
        <f>H677</f>
        <v>15389</v>
      </c>
    </row>
    <row r="677" spans="1:8" ht="13.5" x14ac:dyDescent="0.2">
      <c r="A677" s="82" t="s">
        <v>476</v>
      </c>
      <c r="B677" s="24" t="s">
        <v>724</v>
      </c>
      <c r="C677" s="24" t="s">
        <v>214</v>
      </c>
      <c r="D677" s="24" t="s">
        <v>474</v>
      </c>
      <c r="E677" s="24" t="s">
        <v>383</v>
      </c>
      <c r="F677" s="72"/>
      <c r="G677" s="57">
        <f>G678+G681</f>
        <v>15389</v>
      </c>
      <c r="H677" s="57">
        <f>H678+H681</f>
        <v>15389</v>
      </c>
    </row>
    <row r="678" spans="1:8" x14ac:dyDescent="0.2">
      <c r="A678" s="82" t="s">
        <v>515</v>
      </c>
      <c r="B678" s="24" t="s">
        <v>724</v>
      </c>
      <c r="C678" s="24" t="s">
        <v>214</v>
      </c>
      <c r="D678" s="24" t="s">
        <v>474</v>
      </c>
      <c r="E678" s="24" t="s">
        <v>384</v>
      </c>
      <c r="F678" s="16"/>
      <c r="G678" s="99">
        <f>G679</f>
        <v>12615</v>
      </c>
      <c r="H678" s="99">
        <f>H679</f>
        <v>12615</v>
      </c>
    </row>
    <row r="679" spans="1:8" ht="36" x14ac:dyDescent="0.2">
      <c r="A679" s="84" t="s">
        <v>217</v>
      </c>
      <c r="B679" s="30" t="s">
        <v>724</v>
      </c>
      <c r="C679" s="30" t="s">
        <v>214</v>
      </c>
      <c r="D679" s="30" t="s">
        <v>474</v>
      </c>
      <c r="E679" s="30" t="s">
        <v>384</v>
      </c>
      <c r="F679" s="30" t="s">
        <v>218</v>
      </c>
      <c r="G679" s="41">
        <f>G680</f>
        <v>12615</v>
      </c>
      <c r="H679" s="41">
        <f>H680</f>
        <v>12615</v>
      </c>
    </row>
    <row r="680" spans="1:8" x14ac:dyDescent="0.2">
      <c r="A680" s="84" t="s">
        <v>219</v>
      </c>
      <c r="B680" s="30" t="s">
        <v>724</v>
      </c>
      <c r="C680" s="30" t="s">
        <v>214</v>
      </c>
      <c r="D680" s="30" t="s">
        <v>474</v>
      </c>
      <c r="E680" s="30" t="s">
        <v>384</v>
      </c>
      <c r="F680" s="30" t="s">
        <v>224</v>
      </c>
      <c r="G680" s="41">
        <f>9695+2920</f>
        <v>12615</v>
      </c>
      <c r="H680" s="41">
        <f>9695+2920</f>
        <v>12615</v>
      </c>
    </row>
    <row r="681" spans="1:8" ht="24" x14ac:dyDescent="0.2">
      <c r="A681" s="80" t="s">
        <v>516</v>
      </c>
      <c r="B681" s="24" t="s">
        <v>724</v>
      </c>
      <c r="C681" s="24" t="s">
        <v>214</v>
      </c>
      <c r="D681" s="24" t="s">
        <v>474</v>
      </c>
      <c r="E681" s="24" t="s">
        <v>385</v>
      </c>
      <c r="F681" s="24"/>
      <c r="G681" s="42">
        <f>G682+G684</f>
        <v>2774</v>
      </c>
      <c r="H681" s="42">
        <f>H682+H684</f>
        <v>2774</v>
      </c>
    </row>
    <row r="682" spans="1:8" x14ac:dyDescent="0.2">
      <c r="A682" s="84" t="s">
        <v>473</v>
      </c>
      <c r="B682" s="30" t="s">
        <v>724</v>
      </c>
      <c r="C682" s="30" t="s">
        <v>214</v>
      </c>
      <c r="D682" s="30" t="s">
        <v>474</v>
      </c>
      <c r="E682" s="30" t="s">
        <v>385</v>
      </c>
      <c r="F682" s="30" t="s">
        <v>226</v>
      </c>
      <c r="G682" s="41">
        <f>G683</f>
        <v>2769</v>
      </c>
      <c r="H682" s="41">
        <f>H683</f>
        <v>2769</v>
      </c>
    </row>
    <row r="683" spans="1:8" ht="24" x14ac:dyDescent="0.2">
      <c r="A683" s="84" t="s">
        <v>227</v>
      </c>
      <c r="B683" s="30" t="s">
        <v>724</v>
      </c>
      <c r="C683" s="30" t="s">
        <v>214</v>
      </c>
      <c r="D683" s="30" t="s">
        <v>474</v>
      </c>
      <c r="E683" s="30" t="s">
        <v>385</v>
      </c>
      <c r="F683" s="30" t="s">
        <v>228</v>
      </c>
      <c r="G683" s="41">
        <v>2769</v>
      </c>
      <c r="H683" s="41">
        <v>2769</v>
      </c>
    </row>
    <row r="684" spans="1:8" x14ac:dyDescent="0.2">
      <c r="A684" s="84" t="s">
        <v>229</v>
      </c>
      <c r="B684" s="30" t="s">
        <v>724</v>
      </c>
      <c r="C684" s="30" t="s">
        <v>214</v>
      </c>
      <c r="D684" s="30" t="s">
        <v>474</v>
      </c>
      <c r="E684" s="30" t="s">
        <v>385</v>
      </c>
      <c r="F684" s="30" t="s">
        <v>230</v>
      </c>
      <c r="G684" s="41">
        <f>G685</f>
        <v>5</v>
      </c>
      <c r="H684" s="41">
        <f>H685</f>
        <v>5</v>
      </c>
    </row>
    <row r="685" spans="1:8" x14ac:dyDescent="0.2">
      <c r="A685" s="84" t="s">
        <v>106</v>
      </c>
      <c r="B685" s="30" t="s">
        <v>724</v>
      </c>
      <c r="C685" s="30" t="s">
        <v>214</v>
      </c>
      <c r="D685" s="30" t="s">
        <v>474</v>
      </c>
      <c r="E685" s="30" t="s">
        <v>385</v>
      </c>
      <c r="F685" s="30" t="s">
        <v>231</v>
      </c>
      <c r="G685" s="41">
        <v>5</v>
      </c>
      <c r="H685" s="41">
        <v>5</v>
      </c>
    </row>
    <row r="686" spans="1:8" x14ac:dyDescent="0.2">
      <c r="A686" s="80" t="s">
        <v>509</v>
      </c>
      <c r="B686" s="24" t="s">
        <v>724</v>
      </c>
      <c r="C686" s="24" t="s">
        <v>214</v>
      </c>
      <c r="D686" s="24" t="s">
        <v>235</v>
      </c>
      <c r="E686" s="24"/>
      <c r="F686" s="24"/>
      <c r="G686" s="42">
        <f t="shared" ref="G686:H689" si="33">G687</f>
        <v>1000</v>
      </c>
      <c r="H686" s="42">
        <f t="shared" si="33"/>
        <v>1000</v>
      </c>
    </row>
    <row r="687" spans="1:8" x14ac:dyDescent="0.2">
      <c r="A687" s="80" t="s">
        <v>476</v>
      </c>
      <c r="B687" s="24" t="s">
        <v>724</v>
      </c>
      <c r="C687" s="24" t="s">
        <v>214</v>
      </c>
      <c r="D687" s="24" t="s">
        <v>235</v>
      </c>
      <c r="E687" s="43" t="s">
        <v>383</v>
      </c>
      <c r="F687" s="24"/>
      <c r="G687" s="42">
        <f t="shared" si="33"/>
        <v>1000</v>
      </c>
      <c r="H687" s="42">
        <f t="shared" si="33"/>
        <v>1000</v>
      </c>
    </row>
    <row r="688" spans="1:8" x14ac:dyDescent="0.2">
      <c r="A688" s="83" t="s">
        <v>510</v>
      </c>
      <c r="B688" s="25" t="s">
        <v>724</v>
      </c>
      <c r="C688" s="25" t="s">
        <v>214</v>
      </c>
      <c r="D688" s="25" t="s">
        <v>235</v>
      </c>
      <c r="E688" s="54" t="s">
        <v>147</v>
      </c>
      <c r="F688" s="25"/>
      <c r="G688" s="45">
        <f t="shared" si="33"/>
        <v>1000</v>
      </c>
      <c r="H688" s="45">
        <f t="shared" si="33"/>
        <v>1000</v>
      </c>
    </row>
    <row r="689" spans="1:8" x14ac:dyDescent="0.2">
      <c r="A689" s="84" t="s">
        <v>229</v>
      </c>
      <c r="B689" s="30" t="s">
        <v>724</v>
      </c>
      <c r="C689" s="30" t="s">
        <v>214</v>
      </c>
      <c r="D689" s="30" t="s">
        <v>235</v>
      </c>
      <c r="E689" s="40" t="s">
        <v>147</v>
      </c>
      <c r="F689" s="30" t="s">
        <v>230</v>
      </c>
      <c r="G689" s="41">
        <f t="shared" si="33"/>
        <v>1000</v>
      </c>
      <c r="H689" s="41">
        <f t="shared" si="33"/>
        <v>1000</v>
      </c>
    </row>
    <row r="690" spans="1:8" x14ac:dyDescent="0.2">
      <c r="A690" s="84" t="s">
        <v>306</v>
      </c>
      <c r="B690" s="30" t="s">
        <v>724</v>
      </c>
      <c r="C690" s="30" t="s">
        <v>214</v>
      </c>
      <c r="D690" s="30" t="s">
        <v>235</v>
      </c>
      <c r="E690" s="40" t="s">
        <v>147</v>
      </c>
      <c r="F690" s="30" t="s">
        <v>310</v>
      </c>
      <c r="G690" s="41">
        <v>1000</v>
      </c>
      <c r="H690" s="41">
        <v>1000</v>
      </c>
    </row>
    <row r="691" spans="1:8" ht="24" x14ac:dyDescent="0.2">
      <c r="A691" s="80" t="s">
        <v>693</v>
      </c>
      <c r="B691" s="24" t="s">
        <v>724</v>
      </c>
      <c r="C691" s="24" t="s">
        <v>235</v>
      </c>
      <c r="D691" s="24" t="s">
        <v>215</v>
      </c>
      <c r="E691" s="24"/>
      <c r="F691" s="24"/>
      <c r="G691" s="42">
        <f t="shared" ref="G691:H695" si="34">G692</f>
        <v>112000</v>
      </c>
      <c r="H691" s="42">
        <f t="shared" si="34"/>
        <v>122000</v>
      </c>
    </row>
    <row r="692" spans="1:8" x14ac:dyDescent="0.2">
      <c r="A692" s="80" t="s">
        <v>476</v>
      </c>
      <c r="B692" s="24" t="s">
        <v>724</v>
      </c>
      <c r="C692" s="24" t="s">
        <v>235</v>
      </c>
      <c r="D692" s="24" t="s">
        <v>214</v>
      </c>
      <c r="E692" s="43" t="s">
        <v>383</v>
      </c>
      <c r="F692" s="24"/>
      <c r="G692" s="42">
        <f t="shared" si="34"/>
        <v>112000</v>
      </c>
      <c r="H692" s="42">
        <f t="shared" si="34"/>
        <v>122000</v>
      </c>
    </row>
    <row r="693" spans="1:8" ht="15.75" x14ac:dyDescent="0.2">
      <c r="A693" s="80" t="s">
        <v>727</v>
      </c>
      <c r="B693" s="24" t="s">
        <v>724</v>
      </c>
      <c r="C693" s="24" t="s">
        <v>235</v>
      </c>
      <c r="D693" s="24" t="s">
        <v>214</v>
      </c>
      <c r="E693" s="24" t="s">
        <v>47</v>
      </c>
      <c r="F693" s="47"/>
      <c r="G693" s="42">
        <f t="shared" si="34"/>
        <v>112000</v>
      </c>
      <c r="H693" s="42">
        <f t="shared" si="34"/>
        <v>122000</v>
      </c>
    </row>
    <row r="694" spans="1:8" x14ac:dyDescent="0.2">
      <c r="A694" s="85" t="s">
        <v>507</v>
      </c>
      <c r="B694" s="33" t="s">
        <v>724</v>
      </c>
      <c r="C694" s="33" t="s">
        <v>235</v>
      </c>
      <c r="D694" s="33" t="s">
        <v>214</v>
      </c>
      <c r="E694" s="55" t="s">
        <v>47</v>
      </c>
      <c r="F694" s="33"/>
      <c r="G694" s="101">
        <f t="shared" si="34"/>
        <v>112000</v>
      </c>
      <c r="H694" s="101">
        <f t="shared" si="34"/>
        <v>122000</v>
      </c>
    </row>
    <row r="695" spans="1:8" x14ac:dyDescent="0.2">
      <c r="A695" s="84" t="s">
        <v>477</v>
      </c>
      <c r="B695" s="30" t="s">
        <v>724</v>
      </c>
      <c r="C695" s="30" t="s">
        <v>235</v>
      </c>
      <c r="D695" s="30" t="s">
        <v>214</v>
      </c>
      <c r="E695" s="30" t="s">
        <v>47</v>
      </c>
      <c r="F695" s="30" t="s">
        <v>478</v>
      </c>
      <c r="G695" s="41">
        <f t="shared" si="34"/>
        <v>112000</v>
      </c>
      <c r="H695" s="41">
        <f t="shared" si="34"/>
        <v>122000</v>
      </c>
    </row>
    <row r="696" spans="1:8" x14ac:dyDescent="0.2">
      <c r="A696" s="84" t="s">
        <v>479</v>
      </c>
      <c r="B696" s="30" t="s">
        <v>724</v>
      </c>
      <c r="C696" s="30" t="s">
        <v>235</v>
      </c>
      <c r="D696" s="30" t="s">
        <v>214</v>
      </c>
      <c r="E696" s="30" t="s">
        <v>47</v>
      </c>
      <c r="F696" s="30" t="s">
        <v>708</v>
      </c>
      <c r="G696" s="41">
        <f>122000-10000</f>
        <v>112000</v>
      </c>
      <c r="H696" s="41">
        <v>122000</v>
      </c>
    </row>
    <row r="697" spans="1:8" ht="31.5" x14ac:dyDescent="0.2">
      <c r="A697" s="79" t="s">
        <v>209</v>
      </c>
      <c r="B697" s="46" t="s">
        <v>725</v>
      </c>
      <c r="C697" s="46"/>
      <c r="D697" s="46"/>
      <c r="E697" s="46"/>
      <c r="F697" s="46"/>
      <c r="G697" s="102">
        <f>G698+G719</f>
        <v>15887</v>
      </c>
      <c r="H697" s="102">
        <f>H698+H719</f>
        <v>15887</v>
      </c>
    </row>
    <row r="698" spans="1:8" x14ac:dyDescent="0.2">
      <c r="A698" s="80" t="s">
        <v>256</v>
      </c>
      <c r="B698" s="24" t="s">
        <v>725</v>
      </c>
      <c r="C698" s="24" t="s">
        <v>214</v>
      </c>
      <c r="D698" s="24" t="s">
        <v>215</v>
      </c>
      <c r="E698" s="24"/>
      <c r="F698" s="24"/>
      <c r="G698" s="42">
        <f>G699+G710</f>
        <v>14887</v>
      </c>
      <c r="H698" s="42">
        <f>H699+H710</f>
        <v>14887</v>
      </c>
    </row>
    <row r="699" spans="1:8" ht="36" x14ac:dyDescent="0.2">
      <c r="A699" s="80" t="s">
        <v>501</v>
      </c>
      <c r="B699" s="24" t="s">
        <v>725</v>
      </c>
      <c r="C699" s="24" t="s">
        <v>214</v>
      </c>
      <c r="D699" s="24" t="s">
        <v>216</v>
      </c>
      <c r="E699" s="24"/>
      <c r="F699" s="24"/>
      <c r="G699" s="42">
        <f>G700</f>
        <v>12887</v>
      </c>
      <c r="H699" s="42">
        <f>H700</f>
        <v>12887</v>
      </c>
    </row>
    <row r="700" spans="1:8" x14ac:dyDescent="0.2">
      <c r="A700" s="81" t="s">
        <v>212</v>
      </c>
      <c r="B700" s="25" t="s">
        <v>725</v>
      </c>
      <c r="C700" s="25" t="s">
        <v>214</v>
      </c>
      <c r="D700" s="25" t="s">
        <v>216</v>
      </c>
      <c r="E700" s="25" t="s">
        <v>382</v>
      </c>
      <c r="F700" s="25"/>
      <c r="G700" s="45">
        <f>G701</f>
        <v>12887</v>
      </c>
      <c r="H700" s="45">
        <f>H701</f>
        <v>12887</v>
      </c>
    </row>
    <row r="701" spans="1:8" x14ac:dyDescent="0.2">
      <c r="A701" s="82" t="s">
        <v>476</v>
      </c>
      <c r="B701" s="24" t="s">
        <v>725</v>
      </c>
      <c r="C701" s="24" t="s">
        <v>214</v>
      </c>
      <c r="D701" s="24" t="s">
        <v>216</v>
      </c>
      <c r="E701" s="24" t="s">
        <v>383</v>
      </c>
      <c r="F701" s="24"/>
      <c r="G701" s="42">
        <f>G702+G705</f>
        <v>12887</v>
      </c>
      <c r="H701" s="42">
        <f>H702+H705</f>
        <v>12887</v>
      </c>
    </row>
    <row r="702" spans="1:8" ht="24" x14ac:dyDescent="0.2">
      <c r="A702" s="82" t="s">
        <v>475</v>
      </c>
      <c r="B702" s="24" t="s">
        <v>725</v>
      </c>
      <c r="C702" s="24" t="s">
        <v>214</v>
      </c>
      <c r="D702" s="24" t="s">
        <v>216</v>
      </c>
      <c r="E702" s="24" t="s">
        <v>384</v>
      </c>
      <c r="F702" s="24"/>
      <c r="G702" s="42">
        <f>G703</f>
        <v>12332</v>
      </c>
      <c r="H702" s="42">
        <f>H703</f>
        <v>12332</v>
      </c>
    </row>
    <row r="703" spans="1:8" ht="36" x14ac:dyDescent="0.2">
      <c r="A703" s="84" t="s">
        <v>217</v>
      </c>
      <c r="B703" s="30" t="s">
        <v>725</v>
      </c>
      <c r="C703" s="30" t="s">
        <v>214</v>
      </c>
      <c r="D703" s="30" t="s">
        <v>216</v>
      </c>
      <c r="E703" s="30" t="s">
        <v>384</v>
      </c>
      <c r="F703" s="30" t="s">
        <v>218</v>
      </c>
      <c r="G703" s="41">
        <f>G704</f>
        <v>12332</v>
      </c>
      <c r="H703" s="41">
        <f>H704</f>
        <v>12332</v>
      </c>
    </row>
    <row r="704" spans="1:8" x14ac:dyDescent="0.2">
      <c r="A704" s="84" t="s">
        <v>219</v>
      </c>
      <c r="B704" s="30" t="s">
        <v>725</v>
      </c>
      <c r="C704" s="30" t="s">
        <v>214</v>
      </c>
      <c r="D704" s="30" t="s">
        <v>216</v>
      </c>
      <c r="E704" s="30" t="s">
        <v>384</v>
      </c>
      <c r="F704" s="30" t="s">
        <v>224</v>
      </c>
      <c r="G704" s="41">
        <f>9500+2832</f>
        <v>12332</v>
      </c>
      <c r="H704" s="41">
        <f>9500+2832</f>
        <v>12332</v>
      </c>
    </row>
    <row r="705" spans="1:8" x14ac:dyDescent="0.2">
      <c r="A705" s="80" t="s">
        <v>225</v>
      </c>
      <c r="B705" s="24" t="s">
        <v>725</v>
      </c>
      <c r="C705" s="24" t="s">
        <v>214</v>
      </c>
      <c r="D705" s="24" t="s">
        <v>216</v>
      </c>
      <c r="E705" s="24" t="s">
        <v>385</v>
      </c>
      <c r="F705" s="24"/>
      <c r="G705" s="42">
        <f>G706+G708</f>
        <v>555</v>
      </c>
      <c r="H705" s="42">
        <f>H706+H708</f>
        <v>555</v>
      </c>
    </row>
    <row r="706" spans="1:8" x14ac:dyDescent="0.2">
      <c r="A706" s="84" t="s">
        <v>473</v>
      </c>
      <c r="B706" s="30" t="s">
        <v>725</v>
      </c>
      <c r="C706" s="30" t="s">
        <v>214</v>
      </c>
      <c r="D706" s="30" t="s">
        <v>216</v>
      </c>
      <c r="E706" s="30" t="s">
        <v>385</v>
      </c>
      <c r="F706" s="30" t="s">
        <v>226</v>
      </c>
      <c r="G706" s="41">
        <f>G707</f>
        <v>553</v>
      </c>
      <c r="H706" s="41">
        <f>H707</f>
        <v>553</v>
      </c>
    </row>
    <row r="707" spans="1:8" ht="24" x14ac:dyDescent="0.2">
      <c r="A707" s="84" t="s">
        <v>227</v>
      </c>
      <c r="B707" s="30" t="s">
        <v>725</v>
      </c>
      <c r="C707" s="30" t="s">
        <v>214</v>
      </c>
      <c r="D707" s="30" t="s">
        <v>216</v>
      </c>
      <c r="E707" s="30" t="s">
        <v>385</v>
      </c>
      <c r="F707" s="30" t="s">
        <v>228</v>
      </c>
      <c r="G707" s="41">
        <v>553</v>
      </c>
      <c r="H707" s="41">
        <v>553</v>
      </c>
    </row>
    <row r="708" spans="1:8" x14ac:dyDescent="0.2">
      <c r="A708" s="84" t="s">
        <v>229</v>
      </c>
      <c r="B708" s="30" t="s">
        <v>725</v>
      </c>
      <c r="C708" s="30" t="s">
        <v>214</v>
      </c>
      <c r="D708" s="30" t="s">
        <v>216</v>
      </c>
      <c r="E708" s="30" t="s">
        <v>385</v>
      </c>
      <c r="F708" s="30" t="s">
        <v>230</v>
      </c>
      <c r="G708" s="41">
        <f>G709</f>
        <v>2</v>
      </c>
      <c r="H708" s="41">
        <f>H709</f>
        <v>2</v>
      </c>
    </row>
    <row r="709" spans="1:8" x14ac:dyDescent="0.2">
      <c r="A709" s="84" t="s">
        <v>106</v>
      </c>
      <c r="B709" s="30" t="s">
        <v>725</v>
      </c>
      <c r="C709" s="30" t="s">
        <v>214</v>
      </c>
      <c r="D709" s="30" t="s">
        <v>216</v>
      </c>
      <c r="E709" s="30" t="s">
        <v>385</v>
      </c>
      <c r="F709" s="30" t="s">
        <v>231</v>
      </c>
      <c r="G709" s="41">
        <v>2</v>
      </c>
      <c r="H709" s="41">
        <v>2</v>
      </c>
    </row>
    <row r="710" spans="1:8" x14ac:dyDescent="0.2">
      <c r="A710" s="80" t="s">
        <v>509</v>
      </c>
      <c r="B710" s="24" t="s">
        <v>725</v>
      </c>
      <c r="C710" s="24" t="s">
        <v>214</v>
      </c>
      <c r="D710" s="24" t="s">
        <v>235</v>
      </c>
      <c r="E710" s="30"/>
      <c r="F710" s="24"/>
      <c r="G710" s="42">
        <f>G711</f>
        <v>2000</v>
      </c>
      <c r="H710" s="42">
        <f>H711</f>
        <v>2000</v>
      </c>
    </row>
    <row r="711" spans="1:8" x14ac:dyDescent="0.2">
      <c r="A711" s="81" t="s">
        <v>212</v>
      </c>
      <c r="B711" s="25" t="s">
        <v>725</v>
      </c>
      <c r="C711" s="25" t="s">
        <v>214</v>
      </c>
      <c r="D711" s="25" t="s">
        <v>235</v>
      </c>
      <c r="E711" s="25" t="s">
        <v>382</v>
      </c>
      <c r="F711" s="25"/>
      <c r="G711" s="45">
        <f>G712</f>
        <v>2000</v>
      </c>
      <c r="H711" s="45">
        <f>H712</f>
        <v>2000</v>
      </c>
    </row>
    <row r="712" spans="1:8" x14ac:dyDescent="0.2">
      <c r="A712" s="80" t="s">
        <v>476</v>
      </c>
      <c r="B712" s="24" t="s">
        <v>725</v>
      </c>
      <c r="C712" s="24" t="s">
        <v>214</v>
      </c>
      <c r="D712" s="24" t="s">
        <v>235</v>
      </c>
      <c r="E712" s="24" t="s">
        <v>383</v>
      </c>
      <c r="F712" s="71"/>
      <c r="G712" s="42">
        <f>G713+G716</f>
        <v>2000</v>
      </c>
      <c r="H712" s="42">
        <f>H713+H716</f>
        <v>2000</v>
      </c>
    </row>
    <row r="713" spans="1:8" ht="24" x14ac:dyDescent="0.2">
      <c r="A713" s="85" t="s">
        <v>493</v>
      </c>
      <c r="B713" s="33" t="s">
        <v>725</v>
      </c>
      <c r="C713" s="33" t="s">
        <v>214</v>
      </c>
      <c r="D713" s="33" t="s">
        <v>235</v>
      </c>
      <c r="E713" s="30" t="s">
        <v>268</v>
      </c>
      <c r="F713" s="34"/>
      <c r="G713" s="101">
        <f>G714</f>
        <v>1000</v>
      </c>
      <c r="H713" s="101">
        <f>H714</f>
        <v>1000</v>
      </c>
    </row>
    <row r="714" spans="1:8" x14ac:dyDescent="0.2">
      <c r="A714" s="84" t="s">
        <v>473</v>
      </c>
      <c r="B714" s="30" t="s">
        <v>725</v>
      </c>
      <c r="C714" s="30" t="s">
        <v>214</v>
      </c>
      <c r="D714" s="30" t="s">
        <v>235</v>
      </c>
      <c r="E714" s="30" t="s">
        <v>268</v>
      </c>
      <c r="F714" s="31">
        <v>200</v>
      </c>
      <c r="G714" s="41">
        <f>G715</f>
        <v>1000</v>
      </c>
      <c r="H714" s="41">
        <f>H715</f>
        <v>1000</v>
      </c>
    </row>
    <row r="715" spans="1:8" ht="24" x14ac:dyDescent="0.2">
      <c r="A715" s="84" t="s">
        <v>227</v>
      </c>
      <c r="B715" s="31">
        <v>611</v>
      </c>
      <c r="C715" s="30" t="s">
        <v>214</v>
      </c>
      <c r="D715" s="30" t="s">
        <v>235</v>
      </c>
      <c r="E715" s="30" t="s">
        <v>268</v>
      </c>
      <c r="F715" s="30" t="s">
        <v>228</v>
      </c>
      <c r="G715" s="41">
        <v>1000</v>
      </c>
      <c r="H715" s="41">
        <v>1000</v>
      </c>
    </row>
    <row r="716" spans="1:8" ht="24" x14ac:dyDescent="0.2">
      <c r="A716" s="83" t="s">
        <v>553</v>
      </c>
      <c r="B716" s="25" t="s">
        <v>725</v>
      </c>
      <c r="C716" s="25" t="s">
        <v>214</v>
      </c>
      <c r="D716" s="25" t="s">
        <v>235</v>
      </c>
      <c r="E716" s="25" t="s">
        <v>269</v>
      </c>
      <c r="F716" s="25"/>
      <c r="G716" s="45">
        <f>G717</f>
        <v>1000</v>
      </c>
      <c r="H716" s="45">
        <f>H717</f>
        <v>1000</v>
      </c>
    </row>
    <row r="717" spans="1:8" x14ac:dyDescent="0.2">
      <c r="A717" s="84" t="s">
        <v>473</v>
      </c>
      <c r="B717" s="30" t="s">
        <v>725</v>
      </c>
      <c r="C717" s="30" t="s">
        <v>214</v>
      </c>
      <c r="D717" s="30" t="s">
        <v>235</v>
      </c>
      <c r="E717" s="30" t="s">
        <v>269</v>
      </c>
      <c r="F717" s="31">
        <v>200</v>
      </c>
      <c r="G717" s="41">
        <f>G718</f>
        <v>1000</v>
      </c>
      <c r="H717" s="41">
        <f>H718</f>
        <v>1000</v>
      </c>
    </row>
    <row r="718" spans="1:8" ht="24" x14ac:dyDescent="0.2">
      <c r="A718" s="84" t="s">
        <v>227</v>
      </c>
      <c r="B718" s="31">
        <v>611</v>
      </c>
      <c r="C718" s="30" t="s">
        <v>214</v>
      </c>
      <c r="D718" s="30" t="s">
        <v>235</v>
      </c>
      <c r="E718" s="30" t="s">
        <v>269</v>
      </c>
      <c r="F718" s="30" t="s">
        <v>228</v>
      </c>
      <c r="G718" s="41">
        <v>1000</v>
      </c>
      <c r="H718" s="41">
        <v>1000</v>
      </c>
    </row>
    <row r="719" spans="1:8" x14ac:dyDescent="0.2">
      <c r="A719" s="80" t="s">
        <v>655</v>
      </c>
      <c r="B719" s="24" t="s">
        <v>725</v>
      </c>
      <c r="C719" s="24" t="s">
        <v>216</v>
      </c>
      <c r="D719" s="24" t="s">
        <v>215</v>
      </c>
      <c r="E719" s="24"/>
      <c r="F719" s="24"/>
      <c r="G719" s="42">
        <f t="shared" ref="G719:H724" si="35">G720</f>
        <v>1000</v>
      </c>
      <c r="H719" s="42">
        <f t="shared" si="35"/>
        <v>1000</v>
      </c>
    </row>
    <row r="720" spans="1:8" x14ac:dyDescent="0.2">
      <c r="A720" s="80" t="s">
        <v>698</v>
      </c>
      <c r="B720" s="24" t="s">
        <v>725</v>
      </c>
      <c r="C720" s="24" t="s">
        <v>216</v>
      </c>
      <c r="D720" s="24" t="s">
        <v>823</v>
      </c>
      <c r="E720" s="25"/>
      <c r="F720" s="25"/>
      <c r="G720" s="42">
        <f t="shared" si="35"/>
        <v>1000</v>
      </c>
      <c r="H720" s="42">
        <f t="shared" si="35"/>
        <v>1000</v>
      </c>
    </row>
    <row r="721" spans="1:8" x14ac:dyDescent="0.2">
      <c r="A721" s="81" t="s">
        <v>212</v>
      </c>
      <c r="B721" s="25" t="s">
        <v>725</v>
      </c>
      <c r="C721" s="25" t="s">
        <v>216</v>
      </c>
      <c r="D721" s="25" t="s">
        <v>823</v>
      </c>
      <c r="E721" s="25" t="s">
        <v>382</v>
      </c>
      <c r="F721" s="25"/>
      <c r="G721" s="45">
        <f t="shared" si="35"/>
        <v>1000</v>
      </c>
      <c r="H721" s="45">
        <f t="shared" si="35"/>
        <v>1000</v>
      </c>
    </row>
    <row r="722" spans="1:8" x14ac:dyDescent="0.2">
      <c r="A722" s="80" t="s">
        <v>476</v>
      </c>
      <c r="B722" s="37">
        <v>611</v>
      </c>
      <c r="C722" s="24" t="s">
        <v>216</v>
      </c>
      <c r="D722" s="24" t="s">
        <v>823</v>
      </c>
      <c r="E722" s="24" t="s">
        <v>383</v>
      </c>
      <c r="F722" s="24"/>
      <c r="G722" s="42">
        <f t="shared" si="35"/>
        <v>1000</v>
      </c>
      <c r="H722" s="42">
        <f t="shared" si="35"/>
        <v>1000</v>
      </c>
    </row>
    <row r="723" spans="1:8" x14ac:dyDescent="0.2">
      <c r="A723" s="85" t="s">
        <v>554</v>
      </c>
      <c r="B723" s="34">
        <v>611</v>
      </c>
      <c r="C723" s="33" t="s">
        <v>216</v>
      </c>
      <c r="D723" s="33" t="s">
        <v>823</v>
      </c>
      <c r="E723" s="33" t="s">
        <v>270</v>
      </c>
      <c r="F723" s="33"/>
      <c r="G723" s="101">
        <f t="shared" si="35"/>
        <v>1000</v>
      </c>
      <c r="H723" s="101">
        <f t="shared" si="35"/>
        <v>1000</v>
      </c>
    </row>
    <row r="724" spans="1:8" x14ac:dyDescent="0.2">
      <c r="A724" s="84" t="s">
        <v>473</v>
      </c>
      <c r="B724" s="30" t="s">
        <v>725</v>
      </c>
      <c r="C724" s="30" t="s">
        <v>216</v>
      </c>
      <c r="D724" s="30" t="s">
        <v>823</v>
      </c>
      <c r="E724" s="30" t="s">
        <v>270</v>
      </c>
      <c r="F724" s="31">
        <v>200</v>
      </c>
      <c r="G724" s="41">
        <f t="shared" si="35"/>
        <v>1000</v>
      </c>
      <c r="H724" s="41">
        <f t="shared" si="35"/>
        <v>1000</v>
      </c>
    </row>
    <row r="725" spans="1:8" ht="24" x14ac:dyDescent="0.2">
      <c r="A725" s="84" t="s">
        <v>227</v>
      </c>
      <c r="B725" s="31">
        <v>611</v>
      </c>
      <c r="C725" s="30" t="s">
        <v>216</v>
      </c>
      <c r="D725" s="30" t="s">
        <v>823</v>
      </c>
      <c r="E725" s="30" t="s">
        <v>270</v>
      </c>
      <c r="F725" s="30" t="s">
        <v>228</v>
      </c>
      <c r="G725" s="41">
        <v>1000</v>
      </c>
      <c r="H725" s="41">
        <v>1000</v>
      </c>
    </row>
    <row r="726" spans="1:8" ht="15.75" x14ac:dyDescent="0.2">
      <c r="A726" s="79" t="s">
        <v>472</v>
      </c>
      <c r="B726" s="46" t="s">
        <v>285</v>
      </c>
      <c r="C726" s="46"/>
      <c r="D726" s="46"/>
      <c r="E726" s="46"/>
      <c r="F726" s="46"/>
      <c r="G726" s="102">
        <f>G727+G803</f>
        <v>2360836.7000000002</v>
      </c>
      <c r="H726" s="102">
        <f>H727+H803</f>
        <v>2319087.6</v>
      </c>
    </row>
    <row r="727" spans="1:8" x14ac:dyDescent="0.2">
      <c r="A727" s="80" t="s">
        <v>673</v>
      </c>
      <c r="B727" s="24" t="s">
        <v>285</v>
      </c>
      <c r="C727" s="24" t="s">
        <v>824</v>
      </c>
      <c r="D727" s="24" t="s">
        <v>215</v>
      </c>
      <c r="E727" s="24"/>
      <c r="F727" s="24"/>
      <c r="G727" s="42">
        <f>G728+G739+G755+G762</f>
        <v>2334388.5</v>
      </c>
      <c r="H727" s="42">
        <f>H728+H739+H755+H762</f>
        <v>2293388.5</v>
      </c>
    </row>
    <row r="728" spans="1:8" x14ac:dyDescent="0.2">
      <c r="A728" s="80" t="s">
        <v>674</v>
      </c>
      <c r="B728" s="24" t="s">
        <v>285</v>
      </c>
      <c r="C728" s="24" t="s">
        <v>824</v>
      </c>
      <c r="D728" s="24" t="s">
        <v>214</v>
      </c>
      <c r="E728" s="24"/>
      <c r="F728" s="24"/>
      <c r="G728" s="42">
        <f>G729</f>
        <v>1083446.5</v>
      </c>
      <c r="H728" s="42">
        <f>H729</f>
        <v>1065446.5</v>
      </c>
    </row>
    <row r="729" spans="1:8" ht="27" x14ac:dyDescent="0.2">
      <c r="A729" s="86" t="s">
        <v>831</v>
      </c>
      <c r="B729" s="53" t="s">
        <v>285</v>
      </c>
      <c r="C729" s="53" t="s">
        <v>824</v>
      </c>
      <c r="D729" s="53" t="s">
        <v>214</v>
      </c>
      <c r="E729" s="53" t="s">
        <v>323</v>
      </c>
      <c r="F729" s="53"/>
      <c r="G729" s="57">
        <f>G730</f>
        <v>1083446.5</v>
      </c>
      <c r="H729" s="57">
        <f>H730</f>
        <v>1065446.5</v>
      </c>
    </row>
    <row r="730" spans="1:8" x14ac:dyDescent="0.2">
      <c r="A730" s="80" t="s">
        <v>445</v>
      </c>
      <c r="B730" s="24" t="s">
        <v>285</v>
      </c>
      <c r="C730" s="24" t="s">
        <v>824</v>
      </c>
      <c r="D730" s="24" t="s">
        <v>214</v>
      </c>
      <c r="E730" s="24" t="s">
        <v>324</v>
      </c>
      <c r="F730" s="24"/>
      <c r="G730" s="42">
        <f>G731+G735</f>
        <v>1083446.5</v>
      </c>
      <c r="H730" s="42">
        <f>H731+H735</f>
        <v>1065446.5</v>
      </c>
    </row>
    <row r="731" spans="1:8" ht="24" x14ac:dyDescent="0.2">
      <c r="A731" s="83" t="s">
        <v>446</v>
      </c>
      <c r="B731" s="25" t="s">
        <v>285</v>
      </c>
      <c r="C731" s="25" t="s">
        <v>824</v>
      </c>
      <c r="D731" s="25" t="s">
        <v>214</v>
      </c>
      <c r="E731" s="25" t="s">
        <v>325</v>
      </c>
      <c r="F731" s="25"/>
      <c r="G731" s="45">
        <f>G732</f>
        <v>503446.5</v>
      </c>
      <c r="H731" s="45">
        <f>H732</f>
        <v>503446.5</v>
      </c>
    </row>
    <row r="732" spans="1:8" ht="24" x14ac:dyDescent="0.2">
      <c r="A732" s="84" t="s">
        <v>246</v>
      </c>
      <c r="B732" s="30" t="s">
        <v>285</v>
      </c>
      <c r="C732" s="30" t="s">
        <v>824</v>
      </c>
      <c r="D732" s="30" t="s">
        <v>214</v>
      </c>
      <c r="E732" s="30" t="s">
        <v>832</v>
      </c>
      <c r="F732" s="30" t="s">
        <v>702</v>
      </c>
      <c r="G732" s="41">
        <f>G733+G734</f>
        <v>503446.5</v>
      </c>
      <c r="H732" s="41">
        <f>H733+H734</f>
        <v>503446.5</v>
      </c>
    </row>
    <row r="733" spans="1:8" x14ac:dyDescent="0.2">
      <c r="A733" s="84" t="s">
        <v>247</v>
      </c>
      <c r="B733" s="40">
        <v>612</v>
      </c>
      <c r="C733" s="30" t="s">
        <v>824</v>
      </c>
      <c r="D733" s="30" t="s">
        <v>214</v>
      </c>
      <c r="E733" s="30" t="s">
        <v>832</v>
      </c>
      <c r="F733" s="30" t="s">
        <v>724</v>
      </c>
      <c r="G733" s="41">
        <f>460668.5+10000</f>
        <v>470668.5</v>
      </c>
      <c r="H733" s="41">
        <f>460668.5+10000</f>
        <v>470668.5</v>
      </c>
    </row>
    <row r="734" spans="1:8" x14ac:dyDescent="0.2">
      <c r="A734" s="84" t="s">
        <v>108</v>
      </c>
      <c r="B734" s="40">
        <v>612</v>
      </c>
      <c r="C734" s="30" t="s">
        <v>824</v>
      </c>
      <c r="D734" s="30" t="s">
        <v>214</v>
      </c>
      <c r="E734" s="30" t="s">
        <v>832</v>
      </c>
      <c r="F734" s="30" t="s">
        <v>109</v>
      </c>
      <c r="G734" s="41">
        <v>32778</v>
      </c>
      <c r="H734" s="41">
        <v>32778</v>
      </c>
    </row>
    <row r="735" spans="1:8" ht="48" x14ac:dyDescent="0.2">
      <c r="A735" s="83" t="s">
        <v>656</v>
      </c>
      <c r="B735" s="54">
        <v>612</v>
      </c>
      <c r="C735" s="25" t="s">
        <v>824</v>
      </c>
      <c r="D735" s="25" t="s">
        <v>214</v>
      </c>
      <c r="E735" s="25" t="s">
        <v>326</v>
      </c>
      <c r="F735" s="25"/>
      <c r="G735" s="45">
        <f>G736</f>
        <v>580000</v>
      </c>
      <c r="H735" s="45">
        <f>H736</f>
        <v>562000</v>
      </c>
    </row>
    <row r="736" spans="1:8" ht="24" x14ac:dyDescent="0.2">
      <c r="A736" s="84" t="s">
        <v>246</v>
      </c>
      <c r="B736" s="40">
        <v>612</v>
      </c>
      <c r="C736" s="30" t="s">
        <v>824</v>
      </c>
      <c r="D736" s="30" t="s">
        <v>214</v>
      </c>
      <c r="E736" s="30" t="s">
        <v>326</v>
      </c>
      <c r="F736" s="30" t="s">
        <v>702</v>
      </c>
      <c r="G736" s="41">
        <f>G737+G738</f>
        <v>580000</v>
      </c>
      <c r="H736" s="41">
        <f>H737+H738</f>
        <v>562000</v>
      </c>
    </row>
    <row r="737" spans="1:8" x14ac:dyDescent="0.2">
      <c r="A737" s="84" t="s">
        <v>247</v>
      </c>
      <c r="B737" s="40">
        <v>612</v>
      </c>
      <c r="C737" s="30" t="s">
        <v>824</v>
      </c>
      <c r="D737" s="30" t="s">
        <v>214</v>
      </c>
      <c r="E737" s="30" t="s">
        <v>326</v>
      </c>
      <c r="F737" s="30" t="s">
        <v>724</v>
      </c>
      <c r="G737" s="41">
        <v>543885</v>
      </c>
      <c r="H737" s="41">
        <v>527400</v>
      </c>
    </row>
    <row r="738" spans="1:8" x14ac:dyDescent="0.2">
      <c r="A738" s="84" t="s">
        <v>108</v>
      </c>
      <c r="B738" s="40">
        <v>612</v>
      </c>
      <c r="C738" s="30" t="s">
        <v>824</v>
      </c>
      <c r="D738" s="30" t="s">
        <v>214</v>
      </c>
      <c r="E738" s="30" t="s">
        <v>326</v>
      </c>
      <c r="F738" s="30" t="s">
        <v>109</v>
      </c>
      <c r="G738" s="41">
        <v>36115</v>
      </c>
      <c r="H738" s="41">
        <v>34600</v>
      </c>
    </row>
    <row r="739" spans="1:8" x14ac:dyDescent="0.2">
      <c r="A739" s="80" t="s">
        <v>675</v>
      </c>
      <c r="B739" s="43">
        <v>612</v>
      </c>
      <c r="C739" s="24" t="s">
        <v>824</v>
      </c>
      <c r="D739" s="24" t="s">
        <v>825</v>
      </c>
      <c r="E739" s="24"/>
      <c r="F739" s="25"/>
      <c r="G739" s="42">
        <f>G740</f>
        <v>1037467.8</v>
      </c>
      <c r="H739" s="42">
        <f>H740</f>
        <v>1014467.8</v>
      </c>
    </row>
    <row r="740" spans="1:8" ht="27" x14ac:dyDescent="0.2">
      <c r="A740" s="86" t="s">
        <v>831</v>
      </c>
      <c r="B740" s="53" t="s">
        <v>285</v>
      </c>
      <c r="C740" s="53" t="s">
        <v>824</v>
      </c>
      <c r="D740" s="53" t="s">
        <v>825</v>
      </c>
      <c r="E740" s="53" t="s">
        <v>323</v>
      </c>
      <c r="F740" s="53"/>
      <c r="G740" s="57">
        <f>G741+G750</f>
        <v>1037467.8</v>
      </c>
      <c r="H740" s="57">
        <f>H741+H750</f>
        <v>1014467.8</v>
      </c>
    </row>
    <row r="741" spans="1:8" x14ac:dyDescent="0.2">
      <c r="A741" s="80" t="s">
        <v>445</v>
      </c>
      <c r="B741" s="24" t="s">
        <v>285</v>
      </c>
      <c r="C741" s="24" t="s">
        <v>824</v>
      </c>
      <c r="D741" s="24" t="s">
        <v>825</v>
      </c>
      <c r="E741" s="24" t="s">
        <v>324</v>
      </c>
      <c r="F741" s="24"/>
      <c r="G741" s="42">
        <f>G742+G746</f>
        <v>1017467.8</v>
      </c>
      <c r="H741" s="42">
        <f>H742+H746</f>
        <v>994467.8</v>
      </c>
    </row>
    <row r="742" spans="1:8" ht="24" x14ac:dyDescent="0.2">
      <c r="A742" s="85" t="s">
        <v>447</v>
      </c>
      <c r="B742" s="55">
        <v>612</v>
      </c>
      <c r="C742" s="33" t="s">
        <v>824</v>
      </c>
      <c r="D742" s="33" t="s">
        <v>825</v>
      </c>
      <c r="E742" s="33" t="s">
        <v>329</v>
      </c>
      <c r="F742" s="33"/>
      <c r="G742" s="101">
        <f>G743</f>
        <v>279467.8</v>
      </c>
      <c r="H742" s="101">
        <f>H743</f>
        <v>279467.8</v>
      </c>
    </row>
    <row r="743" spans="1:8" ht="24" x14ac:dyDescent="0.2">
      <c r="A743" s="84" t="s">
        <v>246</v>
      </c>
      <c r="B743" s="40">
        <v>612</v>
      </c>
      <c r="C743" s="30" t="s">
        <v>824</v>
      </c>
      <c r="D743" s="30" t="s">
        <v>825</v>
      </c>
      <c r="E743" s="30" t="s">
        <v>833</v>
      </c>
      <c r="F743" s="30" t="s">
        <v>702</v>
      </c>
      <c r="G743" s="41">
        <f>G744+G745</f>
        <v>279467.8</v>
      </c>
      <c r="H743" s="41">
        <f>H744+H745</f>
        <v>279467.8</v>
      </c>
    </row>
    <row r="744" spans="1:8" x14ac:dyDescent="0.2">
      <c r="A744" s="84" t="s">
        <v>247</v>
      </c>
      <c r="B744" s="40">
        <v>612</v>
      </c>
      <c r="C744" s="30" t="s">
        <v>824</v>
      </c>
      <c r="D744" s="30" t="s">
        <v>825</v>
      </c>
      <c r="E744" s="30" t="s">
        <v>833</v>
      </c>
      <c r="F744" s="30" t="s">
        <v>724</v>
      </c>
      <c r="G744" s="41">
        <f>272913.8+10000-13100</f>
        <v>269813.8</v>
      </c>
      <c r="H744" s="41">
        <f>272913.8+10000-13100</f>
        <v>269813.8</v>
      </c>
    </row>
    <row r="745" spans="1:8" x14ac:dyDescent="0.2">
      <c r="A745" s="84" t="s">
        <v>108</v>
      </c>
      <c r="B745" s="40">
        <v>612</v>
      </c>
      <c r="C745" s="30" t="s">
        <v>824</v>
      </c>
      <c r="D745" s="30" t="s">
        <v>825</v>
      </c>
      <c r="E745" s="30" t="s">
        <v>833</v>
      </c>
      <c r="F745" s="30" t="s">
        <v>109</v>
      </c>
      <c r="G745" s="41">
        <v>9654</v>
      </c>
      <c r="H745" s="41">
        <v>9654</v>
      </c>
    </row>
    <row r="746" spans="1:8" ht="60" x14ac:dyDescent="0.2">
      <c r="A746" s="62" t="s">
        <v>664</v>
      </c>
      <c r="B746" s="25" t="s">
        <v>285</v>
      </c>
      <c r="C746" s="25" t="s">
        <v>824</v>
      </c>
      <c r="D746" s="25" t="s">
        <v>825</v>
      </c>
      <c r="E746" s="25" t="s">
        <v>448</v>
      </c>
      <c r="F746" s="25"/>
      <c r="G746" s="45">
        <f>G747</f>
        <v>738000</v>
      </c>
      <c r="H746" s="45">
        <f>H747</f>
        <v>715000</v>
      </c>
    </row>
    <row r="747" spans="1:8" ht="24" x14ac:dyDescent="0.2">
      <c r="A747" s="84" t="s">
        <v>246</v>
      </c>
      <c r="B747" s="30" t="s">
        <v>285</v>
      </c>
      <c r="C747" s="30" t="s">
        <v>824</v>
      </c>
      <c r="D747" s="30" t="s">
        <v>825</v>
      </c>
      <c r="E747" s="30" t="s">
        <v>448</v>
      </c>
      <c r="F747" s="30" t="s">
        <v>702</v>
      </c>
      <c r="G747" s="41">
        <f>G748+G749</f>
        <v>738000</v>
      </c>
      <c r="H747" s="41">
        <f>H748+H749</f>
        <v>715000</v>
      </c>
    </row>
    <row r="748" spans="1:8" x14ac:dyDescent="0.2">
      <c r="A748" s="84" t="s">
        <v>247</v>
      </c>
      <c r="B748" s="30" t="s">
        <v>285</v>
      </c>
      <c r="C748" s="30" t="s">
        <v>824</v>
      </c>
      <c r="D748" s="30" t="s">
        <v>825</v>
      </c>
      <c r="E748" s="30" t="s">
        <v>448</v>
      </c>
      <c r="F748" s="30" t="s">
        <v>724</v>
      </c>
      <c r="G748" s="41">
        <v>703200</v>
      </c>
      <c r="H748" s="41">
        <v>680200</v>
      </c>
    </row>
    <row r="749" spans="1:8" x14ac:dyDescent="0.2">
      <c r="A749" s="84" t="s">
        <v>108</v>
      </c>
      <c r="B749" s="30" t="s">
        <v>285</v>
      </c>
      <c r="C749" s="30" t="s">
        <v>824</v>
      </c>
      <c r="D749" s="30" t="s">
        <v>825</v>
      </c>
      <c r="E749" s="30" t="s">
        <v>448</v>
      </c>
      <c r="F749" s="30" t="s">
        <v>109</v>
      </c>
      <c r="G749" s="41">
        <v>34800</v>
      </c>
      <c r="H749" s="41">
        <v>34800</v>
      </c>
    </row>
    <row r="750" spans="1:8" x14ac:dyDescent="0.2">
      <c r="A750" s="80" t="s">
        <v>461</v>
      </c>
      <c r="B750" s="24" t="s">
        <v>285</v>
      </c>
      <c r="C750" s="24" t="s">
        <v>824</v>
      </c>
      <c r="D750" s="24" t="s">
        <v>825</v>
      </c>
      <c r="E750" s="24" t="s">
        <v>332</v>
      </c>
      <c r="F750" s="24"/>
      <c r="G750" s="42">
        <f>G751</f>
        <v>20000</v>
      </c>
      <c r="H750" s="42">
        <f>H751</f>
        <v>20000</v>
      </c>
    </row>
    <row r="751" spans="1:8" ht="24" x14ac:dyDescent="0.2">
      <c r="A751" s="123" t="s">
        <v>342</v>
      </c>
      <c r="B751" s="25" t="s">
        <v>285</v>
      </c>
      <c r="C751" s="25" t="s">
        <v>824</v>
      </c>
      <c r="D751" s="25" t="s">
        <v>825</v>
      </c>
      <c r="E751" s="25" t="s">
        <v>834</v>
      </c>
      <c r="F751" s="25"/>
      <c r="G751" s="45">
        <f>G752</f>
        <v>20000</v>
      </c>
      <c r="H751" s="45">
        <f>H752</f>
        <v>20000</v>
      </c>
    </row>
    <row r="752" spans="1:8" ht="24" x14ac:dyDescent="0.2">
      <c r="A752" s="84" t="s">
        <v>246</v>
      </c>
      <c r="B752" s="30" t="s">
        <v>285</v>
      </c>
      <c r="C752" s="30" t="s">
        <v>824</v>
      </c>
      <c r="D752" s="30" t="s">
        <v>825</v>
      </c>
      <c r="E752" s="30" t="s">
        <v>835</v>
      </c>
      <c r="F752" s="30" t="s">
        <v>702</v>
      </c>
      <c r="G752" s="41">
        <f>G753+G754</f>
        <v>20000</v>
      </c>
      <c r="H752" s="41">
        <f>H753+H754</f>
        <v>20000</v>
      </c>
    </row>
    <row r="753" spans="1:8" x14ac:dyDescent="0.2">
      <c r="A753" s="84" t="s">
        <v>247</v>
      </c>
      <c r="B753" s="30" t="s">
        <v>285</v>
      </c>
      <c r="C753" s="30" t="s">
        <v>824</v>
      </c>
      <c r="D753" s="30" t="s">
        <v>825</v>
      </c>
      <c r="E753" s="30" t="s">
        <v>835</v>
      </c>
      <c r="F753" s="30" t="s">
        <v>724</v>
      </c>
      <c r="G753" s="41">
        <v>19142</v>
      </c>
      <c r="H753" s="41">
        <v>19142</v>
      </c>
    </row>
    <row r="754" spans="1:8" x14ac:dyDescent="0.2">
      <c r="A754" s="84" t="s">
        <v>108</v>
      </c>
      <c r="B754" s="30" t="s">
        <v>285</v>
      </c>
      <c r="C754" s="30" t="s">
        <v>824</v>
      </c>
      <c r="D754" s="30" t="s">
        <v>825</v>
      </c>
      <c r="E754" s="30" t="s">
        <v>835</v>
      </c>
      <c r="F754" s="30" t="s">
        <v>109</v>
      </c>
      <c r="G754" s="41">
        <v>858</v>
      </c>
      <c r="H754" s="41">
        <v>858</v>
      </c>
    </row>
    <row r="755" spans="1:8" x14ac:dyDescent="0.2">
      <c r="A755" s="87" t="s">
        <v>449</v>
      </c>
      <c r="B755" s="24" t="s">
        <v>285</v>
      </c>
      <c r="C755" s="24" t="s">
        <v>824</v>
      </c>
      <c r="D755" s="24" t="s">
        <v>817</v>
      </c>
      <c r="E755" s="24"/>
      <c r="F755" s="24"/>
      <c r="G755" s="42">
        <f t="shared" ref="G755:H758" si="36">G756</f>
        <v>97634.2</v>
      </c>
      <c r="H755" s="42">
        <f t="shared" si="36"/>
        <v>97634.2</v>
      </c>
    </row>
    <row r="756" spans="1:8" ht="27" x14ac:dyDescent="0.2">
      <c r="A756" s="86" t="s">
        <v>831</v>
      </c>
      <c r="B756" s="53" t="s">
        <v>285</v>
      </c>
      <c r="C756" s="53" t="s">
        <v>824</v>
      </c>
      <c r="D756" s="53" t="s">
        <v>817</v>
      </c>
      <c r="E756" s="53" t="s">
        <v>323</v>
      </c>
      <c r="F756" s="33"/>
      <c r="G756" s="57">
        <f t="shared" si="36"/>
        <v>97634.2</v>
      </c>
      <c r="H756" s="57">
        <f t="shared" si="36"/>
        <v>97634.2</v>
      </c>
    </row>
    <row r="757" spans="1:8" x14ac:dyDescent="0.2">
      <c r="A757" s="80" t="s">
        <v>445</v>
      </c>
      <c r="B757" s="24" t="s">
        <v>285</v>
      </c>
      <c r="C757" s="24" t="s">
        <v>824</v>
      </c>
      <c r="D757" s="24" t="s">
        <v>817</v>
      </c>
      <c r="E757" s="24" t="s">
        <v>324</v>
      </c>
      <c r="F757" s="30"/>
      <c r="G757" s="42">
        <f t="shared" si="36"/>
        <v>97634.2</v>
      </c>
      <c r="H757" s="42">
        <f t="shared" si="36"/>
        <v>97634.2</v>
      </c>
    </row>
    <row r="758" spans="1:8" ht="24" x14ac:dyDescent="0.2">
      <c r="A758" s="83" t="s">
        <v>450</v>
      </c>
      <c r="B758" s="25" t="s">
        <v>285</v>
      </c>
      <c r="C758" s="25" t="s">
        <v>824</v>
      </c>
      <c r="D758" s="25" t="s">
        <v>817</v>
      </c>
      <c r="E758" s="25" t="s">
        <v>330</v>
      </c>
      <c r="F758" s="25"/>
      <c r="G758" s="45">
        <f t="shared" si="36"/>
        <v>97634.2</v>
      </c>
      <c r="H758" s="45">
        <f t="shared" si="36"/>
        <v>97634.2</v>
      </c>
    </row>
    <row r="759" spans="1:8" ht="24" x14ac:dyDescent="0.2">
      <c r="A759" s="84" t="s">
        <v>246</v>
      </c>
      <c r="B759" s="30" t="s">
        <v>285</v>
      </c>
      <c r="C759" s="30" t="s">
        <v>824</v>
      </c>
      <c r="D759" s="30" t="s">
        <v>817</v>
      </c>
      <c r="E759" s="30" t="s">
        <v>836</v>
      </c>
      <c r="F759" s="30" t="s">
        <v>702</v>
      </c>
      <c r="G759" s="41">
        <f>G760+G761</f>
        <v>97634.2</v>
      </c>
      <c r="H759" s="41">
        <f>H760+H761</f>
        <v>97634.2</v>
      </c>
    </row>
    <row r="760" spans="1:8" x14ac:dyDescent="0.2">
      <c r="A760" s="84" t="s">
        <v>247</v>
      </c>
      <c r="B760" s="40">
        <v>612</v>
      </c>
      <c r="C760" s="30" t="s">
        <v>824</v>
      </c>
      <c r="D760" s="30" t="s">
        <v>817</v>
      </c>
      <c r="E760" s="30" t="s">
        <v>836</v>
      </c>
      <c r="F760" s="30" t="s">
        <v>724</v>
      </c>
      <c r="G760" s="41">
        <v>2873</v>
      </c>
      <c r="H760" s="41">
        <v>2873</v>
      </c>
    </row>
    <row r="761" spans="1:8" x14ac:dyDescent="0.2">
      <c r="A761" s="84" t="s">
        <v>108</v>
      </c>
      <c r="B761" s="40">
        <v>612</v>
      </c>
      <c r="C761" s="30" t="s">
        <v>824</v>
      </c>
      <c r="D761" s="30" t="s">
        <v>817</v>
      </c>
      <c r="E761" s="30" t="s">
        <v>836</v>
      </c>
      <c r="F761" s="30" t="s">
        <v>109</v>
      </c>
      <c r="G761" s="41">
        <v>94761.2</v>
      </c>
      <c r="H761" s="41">
        <v>94761.2</v>
      </c>
    </row>
    <row r="762" spans="1:8" x14ac:dyDescent="0.2">
      <c r="A762" s="80" t="s">
        <v>677</v>
      </c>
      <c r="B762" s="24" t="s">
        <v>285</v>
      </c>
      <c r="C762" s="24" t="s">
        <v>824</v>
      </c>
      <c r="D762" s="24" t="s">
        <v>818</v>
      </c>
      <c r="E762" s="24"/>
      <c r="F762" s="30"/>
      <c r="G762" s="42">
        <f>G763</f>
        <v>115840</v>
      </c>
      <c r="H762" s="42">
        <f>H763</f>
        <v>115840</v>
      </c>
    </row>
    <row r="763" spans="1:8" ht="27" x14ac:dyDescent="0.2">
      <c r="A763" s="86" t="s">
        <v>831</v>
      </c>
      <c r="B763" s="53" t="s">
        <v>285</v>
      </c>
      <c r="C763" s="53" t="s">
        <v>824</v>
      </c>
      <c r="D763" s="53" t="s">
        <v>818</v>
      </c>
      <c r="E763" s="53" t="s">
        <v>323</v>
      </c>
      <c r="F763" s="30"/>
      <c r="G763" s="57">
        <f>G764+G773+G792</f>
        <v>115840</v>
      </c>
      <c r="H763" s="57">
        <f>H764+H773+H792</f>
        <v>115840</v>
      </c>
    </row>
    <row r="764" spans="1:8" x14ac:dyDescent="0.2">
      <c r="A764" s="80" t="s">
        <v>445</v>
      </c>
      <c r="B764" s="24" t="s">
        <v>285</v>
      </c>
      <c r="C764" s="24" t="s">
        <v>824</v>
      </c>
      <c r="D764" s="24" t="s">
        <v>818</v>
      </c>
      <c r="E764" s="24" t="s">
        <v>324</v>
      </c>
      <c r="F764" s="24"/>
      <c r="G764" s="42">
        <f>G765+G769</f>
        <v>100094</v>
      </c>
      <c r="H764" s="42">
        <f>H765+H769</f>
        <v>100094</v>
      </c>
    </row>
    <row r="765" spans="1:8" ht="24" x14ac:dyDescent="0.2">
      <c r="A765" s="83" t="s">
        <v>452</v>
      </c>
      <c r="B765" s="25" t="s">
        <v>285</v>
      </c>
      <c r="C765" s="25" t="s">
        <v>824</v>
      </c>
      <c r="D765" s="25" t="s">
        <v>818</v>
      </c>
      <c r="E765" s="25" t="s">
        <v>451</v>
      </c>
      <c r="F765" s="25"/>
      <c r="G765" s="45">
        <f>G766</f>
        <v>10000</v>
      </c>
      <c r="H765" s="45">
        <f>H766</f>
        <v>10000</v>
      </c>
    </row>
    <row r="766" spans="1:8" ht="24" x14ac:dyDescent="0.2">
      <c r="A766" s="84" t="s">
        <v>246</v>
      </c>
      <c r="B766" s="30" t="s">
        <v>285</v>
      </c>
      <c r="C766" s="30" t="s">
        <v>824</v>
      </c>
      <c r="D766" s="30" t="s">
        <v>818</v>
      </c>
      <c r="E766" s="30" t="s">
        <v>837</v>
      </c>
      <c r="F766" s="30" t="s">
        <v>702</v>
      </c>
      <c r="G766" s="41">
        <f>G767+G768</f>
        <v>10000</v>
      </c>
      <c r="H766" s="41">
        <f>H767+H768</f>
        <v>10000</v>
      </c>
    </row>
    <row r="767" spans="1:8" x14ac:dyDescent="0.2">
      <c r="A767" s="84" t="s">
        <v>247</v>
      </c>
      <c r="B767" s="40">
        <v>612</v>
      </c>
      <c r="C767" s="30" t="s">
        <v>824</v>
      </c>
      <c r="D767" s="30" t="s">
        <v>818</v>
      </c>
      <c r="E767" s="30" t="s">
        <v>837</v>
      </c>
      <c r="F767" s="30" t="s">
        <v>724</v>
      </c>
      <c r="G767" s="41">
        <v>9800</v>
      </c>
      <c r="H767" s="41">
        <v>9800</v>
      </c>
    </row>
    <row r="768" spans="1:8" x14ac:dyDescent="0.2">
      <c r="A768" s="84" t="s">
        <v>108</v>
      </c>
      <c r="B768" s="40">
        <v>612</v>
      </c>
      <c r="C768" s="30" t="s">
        <v>824</v>
      </c>
      <c r="D768" s="30" t="s">
        <v>818</v>
      </c>
      <c r="E768" s="30" t="s">
        <v>837</v>
      </c>
      <c r="F768" s="30" t="s">
        <v>109</v>
      </c>
      <c r="G768" s="41">
        <v>200</v>
      </c>
      <c r="H768" s="41">
        <v>200</v>
      </c>
    </row>
    <row r="769" spans="1:8" ht="24" x14ac:dyDescent="0.2">
      <c r="A769" s="83" t="s">
        <v>459</v>
      </c>
      <c r="B769" s="55">
        <v>612</v>
      </c>
      <c r="C769" s="33" t="s">
        <v>824</v>
      </c>
      <c r="D769" s="33" t="s">
        <v>818</v>
      </c>
      <c r="E769" s="25" t="s">
        <v>453</v>
      </c>
      <c r="F769" s="25"/>
      <c r="G769" s="45">
        <f>G770</f>
        <v>90094</v>
      </c>
      <c r="H769" s="45">
        <f>H770</f>
        <v>90094</v>
      </c>
    </row>
    <row r="770" spans="1:8" ht="24" x14ac:dyDescent="0.2">
      <c r="A770" s="84" t="s">
        <v>246</v>
      </c>
      <c r="B770" s="30" t="s">
        <v>285</v>
      </c>
      <c r="C770" s="30" t="s">
        <v>824</v>
      </c>
      <c r="D770" s="30" t="s">
        <v>818</v>
      </c>
      <c r="E770" s="30" t="s">
        <v>838</v>
      </c>
      <c r="F770" s="30" t="s">
        <v>702</v>
      </c>
      <c r="G770" s="41">
        <f>G771+G772</f>
        <v>90094</v>
      </c>
      <c r="H770" s="41">
        <f>H771+H772</f>
        <v>90094</v>
      </c>
    </row>
    <row r="771" spans="1:8" x14ac:dyDescent="0.2">
      <c r="A771" s="84" t="s">
        <v>247</v>
      </c>
      <c r="B771" s="40">
        <v>612</v>
      </c>
      <c r="C771" s="30" t="s">
        <v>824</v>
      </c>
      <c r="D771" s="30" t="s">
        <v>818</v>
      </c>
      <c r="E771" s="30" t="s">
        <v>838</v>
      </c>
      <c r="F771" s="30" t="s">
        <v>724</v>
      </c>
      <c r="G771" s="41">
        <f>95308.55-6780-4103</f>
        <v>84425.55</v>
      </c>
      <c r="H771" s="41">
        <f>95308.55-6780-4103</f>
        <v>84425.55</v>
      </c>
    </row>
    <row r="772" spans="1:8" x14ac:dyDescent="0.2">
      <c r="A772" s="84" t="s">
        <v>108</v>
      </c>
      <c r="B772" s="40">
        <v>612</v>
      </c>
      <c r="C772" s="30" t="s">
        <v>824</v>
      </c>
      <c r="D772" s="30" t="s">
        <v>818</v>
      </c>
      <c r="E772" s="30" t="s">
        <v>838</v>
      </c>
      <c r="F772" s="30" t="s">
        <v>109</v>
      </c>
      <c r="G772" s="41">
        <f>6028.45-360</f>
        <v>5668.45</v>
      </c>
      <c r="H772" s="41">
        <f>6028.45-360</f>
        <v>5668.45</v>
      </c>
    </row>
    <row r="773" spans="1:8" x14ac:dyDescent="0.2">
      <c r="A773" s="80" t="s">
        <v>790</v>
      </c>
      <c r="B773" s="24" t="s">
        <v>285</v>
      </c>
      <c r="C773" s="24" t="s">
        <v>824</v>
      </c>
      <c r="D773" s="24" t="s">
        <v>818</v>
      </c>
      <c r="E773" s="24" t="s">
        <v>331</v>
      </c>
      <c r="F773" s="24"/>
      <c r="G773" s="42">
        <f>G774+G782+G787</f>
        <v>6120</v>
      </c>
      <c r="H773" s="42">
        <f>H774+H782+H787</f>
        <v>6120</v>
      </c>
    </row>
    <row r="774" spans="1:8" ht="25.5" x14ac:dyDescent="0.2">
      <c r="A774" s="68" t="s">
        <v>334</v>
      </c>
      <c r="B774" s="24" t="s">
        <v>285</v>
      </c>
      <c r="C774" s="24" t="s">
        <v>824</v>
      </c>
      <c r="D774" s="24" t="s">
        <v>818</v>
      </c>
      <c r="E774" s="24" t="s">
        <v>289</v>
      </c>
      <c r="F774" s="25"/>
      <c r="G774" s="42">
        <f>G775</f>
        <v>3785</v>
      </c>
      <c r="H774" s="42">
        <f>H775</f>
        <v>3785</v>
      </c>
    </row>
    <row r="775" spans="1:8" ht="24" x14ac:dyDescent="0.2">
      <c r="A775" s="85" t="s">
        <v>819</v>
      </c>
      <c r="B775" s="55">
        <v>612</v>
      </c>
      <c r="C775" s="33" t="s">
        <v>824</v>
      </c>
      <c r="D775" s="33" t="s">
        <v>818</v>
      </c>
      <c r="E775" s="33" t="s">
        <v>839</v>
      </c>
      <c r="F775" s="33"/>
      <c r="G775" s="101">
        <f>G776+G778+G780</f>
        <v>3785</v>
      </c>
      <c r="H775" s="101">
        <f>H776+H778+H780</f>
        <v>3785</v>
      </c>
    </row>
    <row r="776" spans="1:8" ht="36" x14ac:dyDescent="0.2">
      <c r="A776" s="84" t="s">
        <v>217</v>
      </c>
      <c r="B776" s="40">
        <v>612</v>
      </c>
      <c r="C776" s="30" t="s">
        <v>824</v>
      </c>
      <c r="D776" s="30" t="s">
        <v>818</v>
      </c>
      <c r="E776" s="30" t="s">
        <v>839</v>
      </c>
      <c r="F776" s="30" t="s">
        <v>218</v>
      </c>
      <c r="G776" s="41">
        <f>G777</f>
        <v>3600</v>
      </c>
      <c r="H776" s="41">
        <f>H777</f>
        <v>3600</v>
      </c>
    </row>
    <row r="777" spans="1:8" x14ac:dyDescent="0.2">
      <c r="A777" s="84" t="s">
        <v>820</v>
      </c>
      <c r="B777" s="40">
        <v>612</v>
      </c>
      <c r="C777" s="30" t="s">
        <v>824</v>
      </c>
      <c r="D777" s="30" t="s">
        <v>818</v>
      </c>
      <c r="E777" s="30" t="s">
        <v>839</v>
      </c>
      <c r="F777" s="30" t="s">
        <v>821</v>
      </c>
      <c r="G777" s="41">
        <f>2765+835</f>
        <v>3600</v>
      </c>
      <c r="H777" s="41">
        <f>2765+835</f>
        <v>3600</v>
      </c>
    </row>
    <row r="778" spans="1:8" x14ac:dyDescent="0.2">
      <c r="A778" s="84" t="s">
        <v>473</v>
      </c>
      <c r="B778" s="40">
        <v>612</v>
      </c>
      <c r="C778" s="30" t="s">
        <v>824</v>
      </c>
      <c r="D778" s="30" t="s">
        <v>818</v>
      </c>
      <c r="E778" s="30" t="s">
        <v>839</v>
      </c>
      <c r="F778" s="30" t="s">
        <v>226</v>
      </c>
      <c r="G778" s="41">
        <f>G779</f>
        <v>180</v>
      </c>
      <c r="H778" s="41">
        <f>H779</f>
        <v>180</v>
      </c>
    </row>
    <row r="779" spans="1:8" ht="24" x14ac:dyDescent="0.2">
      <c r="A779" s="84" t="s">
        <v>227</v>
      </c>
      <c r="B779" s="40">
        <v>612</v>
      </c>
      <c r="C779" s="30" t="s">
        <v>824</v>
      </c>
      <c r="D779" s="30" t="s">
        <v>818</v>
      </c>
      <c r="E779" s="30" t="s">
        <v>839</v>
      </c>
      <c r="F779" s="30" t="s">
        <v>228</v>
      </c>
      <c r="G779" s="41">
        <v>180</v>
      </c>
      <c r="H779" s="41">
        <v>180</v>
      </c>
    </row>
    <row r="780" spans="1:8" x14ac:dyDescent="0.2">
      <c r="A780" s="84" t="s">
        <v>229</v>
      </c>
      <c r="B780" s="40">
        <v>612</v>
      </c>
      <c r="C780" s="30" t="s">
        <v>824</v>
      </c>
      <c r="D780" s="30" t="s">
        <v>818</v>
      </c>
      <c r="E780" s="30" t="s">
        <v>839</v>
      </c>
      <c r="F780" s="30" t="s">
        <v>230</v>
      </c>
      <c r="G780" s="103">
        <f>G781</f>
        <v>5</v>
      </c>
      <c r="H780" s="103">
        <f>H781</f>
        <v>5</v>
      </c>
    </row>
    <row r="781" spans="1:8" x14ac:dyDescent="0.2">
      <c r="A781" s="84" t="s">
        <v>311</v>
      </c>
      <c r="B781" s="40">
        <v>612</v>
      </c>
      <c r="C781" s="30" t="s">
        <v>824</v>
      </c>
      <c r="D781" s="30" t="s">
        <v>818</v>
      </c>
      <c r="E781" s="30" t="s">
        <v>839</v>
      </c>
      <c r="F781" s="30" t="s">
        <v>231</v>
      </c>
      <c r="G781" s="103">
        <v>5</v>
      </c>
      <c r="H781" s="103">
        <v>5</v>
      </c>
    </row>
    <row r="782" spans="1:8" ht="36" x14ac:dyDescent="0.2">
      <c r="A782" s="123" t="s">
        <v>460</v>
      </c>
      <c r="B782" s="25" t="s">
        <v>285</v>
      </c>
      <c r="C782" s="25" t="s">
        <v>824</v>
      </c>
      <c r="D782" s="25" t="s">
        <v>818</v>
      </c>
      <c r="E782" s="25" t="s">
        <v>840</v>
      </c>
      <c r="F782" s="25"/>
      <c r="G782" s="45">
        <f>G783+G785</f>
        <v>1785</v>
      </c>
      <c r="H782" s="45">
        <f>H783+H785</f>
        <v>1785</v>
      </c>
    </row>
    <row r="783" spans="1:8" ht="36" x14ac:dyDescent="0.2">
      <c r="A783" s="84" t="s">
        <v>217</v>
      </c>
      <c r="B783" s="40">
        <v>612</v>
      </c>
      <c r="C783" s="30" t="s">
        <v>824</v>
      </c>
      <c r="D783" s="30" t="s">
        <v>818</v>
      </c>
      <c r="E783" s="30" t="s">
        <v>840</v>
      </c>
      <c r="F783" s="30" t="s">
        <v>218</v>
      </c>
      <c r="G783" s="41">
        <f>G784</f>
        <v>250</v>
      </c>
      <c r="H783" s="41">
        <f>H784</f>
        <v>250</v>
      </c>
    </row>
    <row r="784" spans="1:8" x14ac:dyDescent="0.2">
      <c r="A784" s="84" t="s">
        <v>820</v>
      </c>
      <c r="B784" s="40">
        <v>612</v>
      </c>
      <c r="C784" s="30" t="s">
        <v>824</v>
      </c>
      <c r="D784" s="30" t="s">
        <v>818</v>
      </c>
      <c r="E784" s="30" t="s">
        <v>840</v>
      </c>
      <c r="F784" s="30" t="s">
        <v>821</v>
      </c>
      <c r="G784" s="41">
        <v>250</v>
      </c>
      <c r="H784" s="41">
        <v>250</v>
      </c>
    </row>
    <row r="785" spans="1:8" x14ac:dyDescent="0.2">
      <c r="A785" s="84" t="s">
        <v>473</v>
      </c>
      <c r="B785" s="40">
        <v>612</v>
      </c>
      <c r="C785" s="30" t="s">
        <v>824</v>
      </c>
      <c r="D785" s="30" t="s">
        <v>818</v>
      </c>
      <c r="E785" s="30" t="s">
        <v>840</v>
      </c>
      <c r="F785" s="30" t="s">
        <v>226</v>
      </c>
      <c r="G785" s="41">
        <f>G786</f>
        <v>1535</v>
      </c>
      <c r="H785" s="41">
        <f>H786</f>
        <v>1535</v>
      </c>
    </row>
    <row r="786" spans="1:8" ht="24" x14ac:dyDescent="0.2">
      <c r="A786" s="84" t="s">
        <v>227</v>
      </c>
      <c r="B786" s="40">
        <v>612</v>
      </c>
      <c r="C786" s="30" t="s">
        <v>824</v>
      </c>
      <c r="D786" s="30" t="s">
        <v>818</v>
      </c>
      <c r="E786" s="30" t="s">
        <v>840</v>
      </c>
      <c r="F786" s="30" t="s">
        <v>228</v>
      </c>
      <c r="G786" s="41">
        <v>1535</v>
      </c>
      <c r="H786" s="41">
        <v>1535</v>
      </c>
    </row>
    <row r="787" spans="1:8" ht="48" x14ac:dyDescent="0.2">
      <c r="A787" s="105" t="s">
        <v>788</v>
      </c>
      <c r="B787" s="33" t="s">
        <v>285</v>
      </c>
      <c r="C787" s="33" t="s">
        <v>824</v>
      </c>
      <c r="D787" s="33" t="s">
        <v>818</v>
      </c>
      <c r="E787" s="33" t="s">
        <v>841</v>
      </c>
      <c r="F787" s="33"/>
      <c r="G787" s="101">
        <f>G788+G790</f>
        <v>550</v>
      </c>
      <c r="H787" s="101">
        <f>H788+H790</f>
        <v>550</v>
      </c>
    </row>
    <row r="788" spans="1:8" ht="36" x14ac:dyDescent="0.2">
      <c r="A788" s="84" t="s">
        <v>217</v>
      </c>
      <c r="B788" s="40">
        <v>612</v>
      </c>
      <c r="C788" s="30" t="s">
        <v>824</v>
      </c>
      <c r="D788" s="30" t="s">
        <v>818</v>
      </c>
      <c r="E788" s="30" t="s">
        <v>841</v>
      </c>
      <c r="F788" s="30" t="s">
        <v>218</v>
      </c>
      <c r="G788" s="41">
        <f>G789</f>
        <v>250</v>
      </c>
      <c r="H788" s="41">
        <f>H789</f>
        <v>250</v>
      </c>
    </row>
    <row r="789" spans="1:8" x14ac:dyDescent="0.2">
      <c r="A789" s="84" t="s">
        <v>820</v>
      </c>
      <c r="B789" s="40">
        <v>612</v>
      </c>
      <c r="C789" s="30" t="s">
        <v>824</v>
      </c>
      <c r="D789" s="30" t="s">
        <v>818</v>
      </c>
      <c r="E789" s="30" t="s">
        <v>841</v>
      </c>
      <c r="F789" s="30" t="s">
        <v>821</v>
      </c>
      <c r="G789" s="41">
        <v>250</v>
      </c>
      <c r="H789" s="41">
        <v>250</v>
      </c>
    </row>
    <row r="790" spans="1:8" x14ac:dyDescent="0.2">
      <c r="A790" s="84" t="s">
        <v>473</v>
      </c>
      <c r="B790" s="40">
        <v>612</v>
      </c>
      <c r="C790" s="30" t="s">
        <v>824</v>
      </c>
      <c r="D790" s="30" t="s">
        <v>818</v>
      </c>
      <c r="E790" s="30" t="s">
        <v>841</v>
      </c>
      <c r="F790" s="30" t="s">
        <v>226</v>
      </c>
      <c r="G790" s="41">
        <f>G791</f>
        <v>300</v>
      </c>
      <c r="H790" s="41">
        <f>H791</f>
        <v>300</v>
      </c>
    </row>
    <row r="791" spans="1:8" ht="24" x14ac:dyDescent="0.2">
      <c r="A791" s="84" t="s">
        <v>227</v>
      </c>
      <c r="B791" s="40">
        <v>612</v>
      </c>
      <c r="C791" s="30" t="s">
        <v>824</v>
      </c>
      <c r="D791" s="30" t="s">
        <v>818</v>
      </c>
      <c r="E791" s="30" t="s">
        <v>841</v>
      </c>
      <c r="F791" s="30" t="s">
        <v>228</v>
      </c>
      <c r="G791" s="41">
        <v>300</v>
      </c>
      <c r="H791" s="41">
        <v>300</v>
      </c>
    </row>
    <row r="792" spans="1:8" ht="36" x14ac:dyDescent="0.2">
      <c r="A792" s="75" t="s">
        <v>761</v>
      </c>
      <c r="B792" s="43">
        <v>612</v>
      </c>
      <c r="C792" s="24" t="s">
        <v>824</v>
      </c>
      <c r="D792" s="24" t="s">
        <v>818</v>
      </c>
      <c r="E792" s="24" t="s">
        <v>333</v>
      </c>
      <c r="F792" s="24"/>
      <c r="G792" s="42">
        <f>G793</f>
        <v>9626</v>
      </c>
      <c r="H792" s="42">
        <f>H793</f>
        <v>9626</v>
      </c>
    </row>
    <row r="793" spans="1:8" ht="25.5" x14ac:dyDescent="0.2">
      <c r="A793" s="68" t="s">
        <v>340</v>
      </c>
      <c r="B793" s="43">
        <v>612</v>
      </c>
      <c r="C793" s="24" t="s">
        <v>824</v>
      </c>
      <c r="D793" s="24" t="s">
        <v>818</v>
      </c>
      <c r="E793" s="24" t="s">
        <v>333</v>
      </c>
      <c r="F793" s="24"/>
      <c r="G793" s="42">
        <f>G794</f>
        <v>9626</v>
      </c>
      <c r="H793" s="42">
        <f>H794</f>
        <v>9626</v>
      </c>
    </row>
    <row r="794" spans="1:8" ht="36" x14ac:dyDescent="0.2">
      <c r="A794" s="83" t="s">
        <v>704</v>
      </c>
      <c r="B794" s="25" t="s">
        <v>285</v>
      </c>
      <c r="C794" s="25" t="s">
        <v>824</v>
      </c>
      <c r="D794" s="25" t="s">
        <v>818</v>
      </c>
      <c r="E794" s="25" t="s">
        <v>333</v>
      </c>
      <c r="F794" s="25"/>
      <c r="G794" s="45">
        <f>G795+G798</f>
        <v>9626</v>
      </c>
      <c r="H794" s="45">
        <f>H795+H798</f>
        <v>9626</v>
      </c>
    </row>
    <row r="795" spans="1:8" ht="24" x14ac:dyDescent="0.2">
      <c r="A795" s="82" t="s">
        <v>685</v>
      </c>
      <c r="B795" s="24" t="s">
        <v>285</v>
      </c>
      <c r="C795" s="24" t="s">
        <v>824</v>
      </c>
      <c r="D795" s="24" t="s">
        <v>818</v>
      </c>
      <c r="E795" s="24" t="s">
        <v>464</v>
      </c>
      <c r="F795" s="24"/>
      <c r="G795" s="42">
        <f>G796</f>
        <v>9114</v>
      </c>
      <c r="H795" s="42">
        <f>H796</f>
        <v>9114</v>
      </c>
    </row>
    <row r="796" spans="1:8" ht="36" x14ac:dyDescent="0.2">
      <c r="A796" s="84" t="s">
        <v>217</v>
      </c>
      <c r="B796" s="30" t="s">
        <v>285</v>
      </c>
      <c r="C796" s="30" t="s">
        <v>824</v>
      </c>
      <c r="D796" s="30" t="s">
        <v>818</v>
      </c>
      <c r="E796" s="30" t="s">
        <v>464</v>
      </c>
      <c r="F796" s="30" t="s">
        <v>218</v>
      </c>
      <c r="G796" s="41">
        <f>G797</f>
        <v>9114</v>
      </c>
      <c r="H796" s="41">
        <f>H797</f>
        <v>9114</v>
      </c>
    </row>
    <row r="797" spans="1:8" x14ac:dyDescent="0.2">
      <c r="A797" s="84" t="s">
        <v>219</v>
      </c>
      <c r="B797" s="30" t="s">
        <v>285</v>
      </c>
      <c r="C797" s="30" t="s">
        <v>824</v>
      </c>
      <c r="D797" s="30" t="s">
        <v>818</v>
      </c>
      <c r="E797" s="30" t="s">
        <v>464</v>
      </c>
      <c r="F797" s="30" t="s">
        <v>224</v>
      </c>
      <c r="G797" s="41">
        <f>7000+2114</f>
        <v>9114</v>
      </c>
      <c r="H797" s="41">
        <f>7000+2114</f>
        <v>9114</v>
      </c>
    </row>
    <row r="798" spans="1:8" x14ac:dyDescent="0.2">
      <c r="A798" s="80" t="s">
        <v>225</v>
      </c>
      <c r="B798" s="24" t="s">
        <v>285</v>
      </c>
      <c r="C798" s="24" t="s">
        <v>824</v>
      </c>
      <c r="D798" s="24" t="s">
        <v>818</v>
      </c>
      <c r="E798" s="24" t="s">
        <v>465</v>
      </c>
      <c r="F798" s="24"/>
      <c r="G798" s="42">
        <f>G799+G801</f>
        <v>512</v>
      </c>
      <c r="H798" s="42">
        <f>H799+H801</f>
        <v>512</v>
      </c>
    </row>
    <row r="799" spans="1:8" x14ac:dyDescent="0.2">
      <c r="A799" s="84" t="s">
        <v>473</v>
      </c>
      <c r="B799" s="30" t="s">
        <v>285</v>
      </c>
      <c r="C799" s="30" t="s">
        <v>824</v>
      </c>
      <c r="D799" s="30" t="s">
        <v>818</v>
      </c>
      <c r="E799" s="30" t="s">
        <v>465</v>
      </c>
      <c r="F799" s="30" t="s">
        <v>226</v>
      </c>
      <c r="G799" s="41">
        <f>G800</f>
        <v>497</v>
      </c>
      <c r="H799" s="41">
        <f>H800</f>
        <v>497</v>
      </c>
    </row>
    <row r="800" spans="1:8" ht="24" x14ac:dyDescent="0.2">
      <c r="A800" s="84" t="s">
        <v>227</v>
      </c>
      <c r="B800" s="30" t="s">
        <v>285</v>
      </c>
      <c r="C800" s="30" t="s">
        <v>824</v>
      </c>
      <c r="D800" s="30" t="s">
        <v>818</v>
      </c>
      <c r="E800" s="30" t="s">
        <v>465</v>
      </c>
      <c r="F800" s="30" t="s">
        <v>228</v>
      </c>
      <c r="G800" s="41">
        <v>497</v>
      </c>
      <c r="H800" s="41">
        <v>497</v>
      </c>
    </row>
    <row r="801" spans="1:8" x14ac:dyDescent="0.2">
      <c r="A801" s="84" t="s">
        <v>229</v>
      </c>
      <c r="B801" s="30" t="s">
        <v>285</v>
      </c>
      <c r="C801" s="30" t="s">
        <v>824</v>
      </c>
      <c r="D801" s="30" t="s">
        <v>818</v>
      </c>
      <c r="E801" s="30" t="s">
        <v>465</v>
      </c>
      <c r="F801" s="30" t="s">
        <v>230</v>
      </c>
      <c r="G801" s="41">
        <f>G802</f>
        <v>15</v>
      </c>
      <c r="H801" s="41">
        <f>H802</f>
        <v>15</v>
      </c>
    </row>
    <row r="802" spans="1:8" x14ac:dyDescent="0.2">
      <c r="A802" s="84" t="s">
        <v>106</v>
      </c>
      <c r="B802" s="30" t="s">
        <v>285</v>
      </c>
      <c r="C802" s="30" t="s">
        <v>824</v>
      </c>
      <c r="D802" s="30" t="s">
        <v>818</v>
      </c>
      <c r="E802" s="30" t="s">
        <v>465</v>
      </c>
      <c r="F802" s="30" t="s">
        <v>231</v>
      </c>
      <c r="G802" s="41">
        <v>15</v>
      </c>
      <c r="H802" s="41">
        <v>15</v>
      </c>
    </row>
    <row r="803" spans="1:8" x14ac:dyDescent="0.2">
      <c r="A803" s="80" t="s">
        <v>700</v>
      </c>
      <c r="B803" s="24" t="s">
        <v>285</v>
      </c>
      <c r="C803" s="24" t="s">
        <v>107</v>
      </c>
      <c r="D803" s="24" t="s">
        <v>215</v>
      </c>
      <c r="E803" s="24"/>
      <c r="F803" s="24"/>
      <c r="G803" s="42">
        <f>G804+G814</f>
        <v>26448.2</v>
      </c>
      <c r="H803" s="42">
        <f>H804+H814</f>
        <v>25699.1</v>
      </c>
    </row>
    <row r="804" spans="1:8" x14ac:dyDescent="0.2">
      <c r="A804" s="80" t="s">
        <v>687</v>
      </c>
      <c r="B804" s="24" t="s">
        <v>285</v>
      </c>
      <c r="C804" s="24" t="s">
        <v>107</v>
      </c>
      <c r="D804" s="24" t="s">
        <v>817</v>
      </c>
      <c r="E804" s="24"/>
      <c r="F804" s="24"/>
      <c r="G804" s="42">
        <f>G805</f>
        <v>14948.2</v>
      </c>
      <c r="H804" s="42">
        <f>H805</f>
        <v>14499.099999999999</v>
      </c>
    </row>
    <row r="805" spans="1:8" ht="27" x14ac:dyDescent="0.2">
      <c r="A805" s="86" t="s">
        <v>831</v>
      </c>
      <c r="B805" s="53" t="s">
        <v>285</v>
      </c>
      <c r="C805" s="53" t="s">
        <v>107</v>
      </c>
      <c r="D805" s="53" t="s">
        <v>817</v>
      </c>
      <c r="E805" s="53" t="s">
        <v>323</v>
      </c>
      <c r="F805" s="53"/>
      <c r="G805" s="57">
        <f>G806</f>
        <v>14948.2</v>
      </c>
      <c r="H805" s="57">
        <f>H806</f>
        <v>14499.099999999999</v>
      </c>
    </row>
    <row r="806" spans="1:8" x14ac:dyDescent="0.2">
      <c r="A806" s="80" t="s">
        <v>461</v>
      </c>
      <c r="B806" s="24" t="s">
        <v>285</v>
      </c>
      <c r="C806" s="24" t="s">
        <v>107</v>
      </c>
      <c r="D806" s="24" t="s">
        <v>817</v>
      </c>
      <c r="E806" s="24" t="s">
        <v>332</v>
      </c>
      <c r="F806" s="24"/>
      <c r="G806" s="42">
        <f>G807+G811</f>
        <v>14948.2</v>
      </c>
      <c r="H806" s="42">
        <f>H807+H811</f>
        <v>14499.099999999999</v>
      </c>
    </row>
    <row r="807" spans="1:8" ht="48" x14ac:dyDescent="0.2">
      <c r="A807" s="83" t="s">
        <v>299</v>
      </c>
      <c r="B807" s="25" t="s">
        <v>285</v>
      </c>
      <c r="C807" s="25" t="s">
        <v>107</v>
      </c>
      <c r="D807" s="25" t="s">
        <v>817</v>
      </c>
      <c r="E807" s="25" t="s">
        <v>463</v>
      </c>
      <c r="F807" s="25"/>
      <c r="G807" s="45">
        <f>G808</f>
        <v>14348.2</v>
      </c>
      <c r="H807" s="45">
        <f>H808</f>
        <v>13899.099999999999</v>
      </c>
    </row>
    <row r="808" spans="1:8" ht="24" x14ac:dyDescent="0.2">
      <c r="A808" s="84" t="s">
        <v>246</v>
      </c>
      <c r="B808" s="30" t="s">
        <v>285</v>
      </c>
      <c r="C808" s="30" t="s">
        <v>107</v>
      </c>
      <c r="D808" s="30" t="s">
        <v>817</v>
      </c>
      <c r="E808" s="30" t="s">
        <v>463</v>
      </c>
      <c r="F808" s="30" t="s">
        <v>702</v>
      </c>
      <c r="G808" s="41">
        <f>G809+G810</f>
        <v>14348.2</v>
      </c>
      <c r="H808" s="41">
        <f>H809+H810</f>
        <v>13899.099999999999</v>
      </c>
    </row>
    <row r="809" spans="1:8" x14ac:dyDescent="0.2">
      <c r="A809" s="84" t="s">
        <v>247</v>
      </c>
      <c r="B809" s="30" t="s">
        <v>285</v>
      </c>
      <c r="C809" s="30" t="s">
        <v>107</v>
      </c>
      <c r="D809" s="30" t="s">
        <v>817</v>
      </c>
      <c r="E809" s="30" t="s">
        <v>463</v>
      </c>
      <c r="F809" s="30" t="s">
        <v>724</v>
      </c>
      <c r="G809" s="41">
        <v>13727.1</v>
      </c>
      <c r="H809" s="41">
        <v>13315.3</v>
      </c>
    </row>
    <row r="810" spans="1:8" x14ac:dyDescent="0.2">
      <c r="A810" s="84" t="s">
        <v>108</v>
      </c>
      <c r="B810" s="30" t="s">
        <v>285</v>
      </c>
      <c r="C810" s="30" t="s">
        <v>107</v>
      </c>
      <c r="D810" s="30" t="s">
        <v>817</v>
      </c>
      <c r="E810" s="30" t="s">
        <v>463</v>
      </c>
      <c r="F810" s="30" t="s">
        <v>109</v>
      </c>
      <c r="G810" s="41">
        <v>621.1</v>
      </c>
      <c r="H810" s="41">
        <v>583.79999999999995</v>
      </c>
    </row>
    <row r="811" spans="1:8" ht="24" x14ac:dyDescent="0.2">
      <c r="A811" s="105" t="s">
        <v>341</v>
      </c>
      <c r="B811" s="33" t="s">
        <v>285</v>
      </c>
      <c r="C811" s="33" t="s">
        <v>107</v>
      </c>
      <c r="D811" s="33" t="s">
        <v>817</v>
      </c>
      <c r="E811" s="33" t="s">
        <v>842</v>
      </c>
      <c r="F811" s="33"/>
      <c r="G811" s="101">
        <f>G812</f>
        <v>600</v>
      </c>
      <c r="H811" s="101">
        <f>H812</f>
        <v>600</v>
      </c>
    </row>
    <row r="812" spans="1:8" x14ac:dyDescent="0.2">
      <c r="A812" s="84" t="s">
        <v>237</v>
      </c>
      <c r="B812" s="40">
        <v>612</v>
      </c>
      <c r="C812" s="30" t="s">
        <v>107</v>
      </c>
      <c r="D812" s="30" t="s">
        <v>817</v>
      </c>
      <c r="E812" s="30" t="s">
        <v>842</v>
      </c>
      <c r="F812" s="30" t="s">
        <v>236</v>
      </c>
      <c r="G812" s="41">
        <f>G813</f>
        <v>600</v>
      </c>
      <c r="H812" s="41">
        <f>H813</f>
        <v>600</v>
      </c>
    </row>
    <row r="813" spans="1:8" ht="24" x14ac:dyDescent="0.2">
      <c r="A813" s="84" t="s">
        <v>238</v>
      </c>
      <c r="B813" s="40">
        <v>612</v>
      </c>
      <c r="C813" s="30" t="s">
        <v>107</v>
      </c>
      <c r="D813" s="30" t="s">
        <v>817</v>
      </c>
      <c r="E813" s="30" t="s">
        <v>842</v>
      </c>
      <c r="F813" s="30" t="s">
        <v>239</v>
      </c>
      <c r="G813" s="41">
        <v>600</v>
      </c>
      <c r="H813" s="41">
        <v>600</v>
      </c>
    </row>
    <row r="814" spans="1:8" x14ac:dyDescent="0.2">
      <c r="A814" s="80" t="s">
        <v>688</v>
      </c>
      <c r="B814" s="24" t="s">
        <v>285</v>
      </c>
      <c r="C814" s="24" t="s">
        <v>107</v>
      </c>
      <c r="D814" s="24" t="s">
        <v>216</v>
      </c>
      <c r="E814" s="24"/>
      <c r="F814" s="24"/>
      <c r="G814" s="42">
        <f t="shared" ref="G814:H818" si="37">G815</f>
        <v>11500</v>
      </c>
      <c r="H814" s="42">
        <f t="shared" si="37"/>
        <v>11200</v>
      </c>
    </row>
    <row r="815" spans="1:8" ht="27" x14ac:dyDescent="0.2">
      <c r="A815" s="86" t="s">
        <v>831</v>
      </c>
      <c r="B815" s="53" t="s">
        <v>285</v>
      </c>
      <c r="C815" s="53" t="s">
        <v>107</v>
      </c>
      <c r="D815" s="53" t="s">
        <v>216</v>
      </c>
      <c r="E815" s="53" t="s">
        <v>323</v>
      </c>
      <c r="F815" s="25"/>
      <c r="G815" s="57">
        <f t="shared" si="37"/>
        <v>11500</v>
      </c>
      <c r="H815" s="57">
        <f t="shared" si="37"/>
        <v>11200</v>
      </c>
    </row>
    <row r="816" spans="1:8" x14ac:dyDescent="0.2">
      <c r="A816" s="80" t="s">
        <v>461</v>
      </c>
      <c r="B816" s="24" t="s">
        <v>285</v>
      </c>
      <c r="C816" s="24" t="s">
        <v>107</v>
      </c>
      <c r="D816" s="24" t="s">
        <v>216</v>
      </c>
      <c r="E816" s="24" t="s">
        <v>332</v>
      </c>
      <c r="F816" s="24"/>
      <c r="G816" s="42">
        <f t="shared" si="37"/>
        <v>11500</v>
      </c>
      <c r="H816" s="42">
        <f t="shared" si="37"/>
        <v>11200</v>
      </c>
    </row>
    <row r="817" spans="1:8" ht="60" x14ac:dyDescent="0.2">
      <c r="A817" s="65" t="s">
        <v>104</v>
      </c>
      <c r="B817" s="33" t="s">
        <v>285</v>
      </c>
      <c r="C817" s="33" t="s">
        <v>107</v>
      </c>
      <c r="D817" s="33" t="s">
        <v>216</v>
      </c>
      <c r="E817" s="33" t="s">
        <v>462</v>
      </c>
      <c r="F817" s="33"/>
      <c r="G817" s="101">
        <f t="shared" si="37"/>
        <v>11500</v>
      </c>
      <c r="H817" s="101">
        <f t="shared" si="37"/>
        <v>11200</v>
      </c>
    </row>
    <row r="818" spans="1:8" x14ac:dyDescent="0.2">
      <c r="A818" s="84" t="s">
        <v>237</v>
      </c>
      <c r="B818" s="30" t="s">
        <v>285</v>
      </c>
      <c r="C818" s="30" t="s">
        <v>107</v>
      </c>
      <c r="D818" s="30" t="s">
        <v>216</v>
      </c>
      <c r="E818" s="30" t="s">
        <v>462</v>
      </c>
      <c r="F818" s="30" t="s">
        <v>236</v>
      </c>
      <c r="G818" s="41">
        <f t="shared" si="37"/>
        <v>11500</v>
      </c>
      <c r="H818" s="41">
        <f t="shared" si="37"/>
        <v>11200</v>
      </c>
    </row>
    <row r="819" spans="1:8" x14ac:dyDescent="0.2">
      <c r="A819" s="84" t="s">
        <v>314</v>
      </c>
      <c r="B819" s="30" t="s">
        <v>285</v>
      </c>
      <c r="C819" s="30" t="s">
        <v>107</v>
      </c>
      <c r="D819" s="30" t="s">
        <v>216</v>
      </c>
      <c r="E819" s="30" t="s">
        <v>462</v>
      </c>
      <c r="F819" s="30" t="s">
        <v>110</v>
      </c>
      <c r="G819" s="41">
        <v>11500</v>
      </c>
      <c r="H819" s="41">
        <v>11200</v>
      </c>
    </row>
    <row r="820" spans="1:8" ht="15.75" x14ac:dyDescent="0.2">
      <c r="A820" s="79" t="s">
        <v>795</v>
      </c>
      <c r="B820" s="46" t="s">
        <v>796</v>
      </c>
      <c r="C820" s="46"/>
      <c r="D820" s="46"/>
      <c r="E820" s="46"/>
      <c r="F820" s="46"/>
      <c r="G820" s="102">
        <f>G821</f>
        <v>26987</v>
      </c>
      <c r="H820" s="102">
        <f>H821</f>
        <v>26987</v>
      </c>
    </row>
    <row r="821" spans="1:8" x14ac:dyDescent="0.2">
      <c r="A821" s="80" t="s">
        <v>256</v>
      </c>
      <c r="B821" s="24" t="s">
        <v>796</v>
      </c>
      <c r="C821" s="24" t="s">
        <v>214</v>
      </c>
      <c r="D821" s="24" t="s">
        <v>215</v>
      </c>
      <c r="E821" s="24"/>
      <c r="F821" s="24"/>
      <c r="G821" s="42">
        <f>G822+G829+G840</f>
        <v>26987</v>
      </c>
      <c r="H821" s="42">
        <f>H822+H829+H840</f>
        <v>26987</v>
      </c>
    </row>
    <row r="822" spans="1:8" ht="24" x14ac:dyDescent="0.2">
      <c r="A822" s="80" t="s">
        <v>797</v>
      </c>
      <c r="B822" s="24" t="s">
        <v>796</v>
      </c>
      <c r="C822" s="24" t="s">
        <v>214</v>
      </c>
      <c r="D822" s="24" t="s">
        <v>825</v>
      </c>
      <c r="E822" s="24"/>
      <c r="F822" s="24"/>
      <c r="G822" s="42">
        <f t="shared" ref="G822:H827" si="38">G823</f>
        <v>1946</v>
      </c>
      <c r="H822" s="42">
        <f t="shared" si="38"/>
        <v>1946</v>
      </c>
    </row>
    <row r="823" spans="1:8" x14ac:dyDescent="0.2">
      <c r="A823" s="83" t="s">
        <v>146</v>
      </c>
      <c r="B823" s="25" t="s">
        <v>796</v>
      </c>
      <c r="C823" s="25" t="s">
        <v>214</v>
      </c>
      <c r="D823" s="25" t="s">
        <v>825</v>
      </c>
      <c r="E823" s="25" t="s">
        <v>388</v>
      </c>
      <c r="F823" s="25"/>
      <c r="G823" s="45">
        <f t="shared" si="38"/>
        <v>1946</v>
      </c>
      <c r="H823" s="45">
        <f t="shared" si="38"/>
        <v>1946</v>
      </c>
    </row>
    <row r="824" spans="1:8" x14ac:dyDescent="0.2">
      <c r="A824" s="80" t="s">
        <v>250</v>
      </c>
      <c r="B824" s="24" t="s">
        <v>796</v>
      </c>
      <c r="C824" s="24" t="s">
        <v>214</v>
      </c>
      <c r="D824" s="24" t="s">
        <v>825</v>
      </c>
      <c r="E824" s="24" t="s">
        <v>389</v>
      </c>
      <c r="F824" s="24"/>
      <c r="G824" s="42">
        <f t="shared" si="38"/>
        <v>1946</v>
      </c>
      <c r="H824" s="42">
        <f t="shared" si="38"/>
        <v>1946</v>
      </c>
    </row>
    <row r="825" spans="1:8" x14ac:dyDescent="0.2">
      <c r="A825" s="85" t="s">
        <v>495</v>
      </c>
      <c r="B825" s="33" t="s">
        <v>796</v>
      </c>
      <c r="C825" s="33" t="s">
        <v>214</v>
      </c>
      <c r="D825" s="33" t="s">
        <v>825</v>
      </c>
      <c r="E825" s="33" t="s">
        <v>390</v>
      </c>
      <c r="F825" s="30"/>
      <c r="G825" s="101">
        <f t="shared" si="38"/>
        <v>1946</v>
      </c>
      <c r="H825" s="101">
        <f t="shared" si="38"/>
        <v>1946</v>
      </c>
    </row>
    <row r="826" spans="1:8" x14ac:dyDescent="0.2">
      <c r="A826" s="73" t="s">
        <v>142</v>
      </c>
      <c r="B826" s="88" t="s">
        <v>796</v>
      </c>
      <c r="C826" s="88" t="s">
        <v>214</v>
      </c>
      <c r="D826" s="88" t="s">
        <v>825</v>
      </c>
      <c r="E826" s="88" t="s">
        <v>391</v>
      </c>
      <c r="F826" s="89"/>
      <c r="G826" s="42">
        <f t="shared" si="38"/>
        <v>1946</v>
      </c>
      <c r="H826" s="42">
        <f t="shared" si="38"/>
        <v>1946</v>
      </c>
    </row>
    <row r="827" spans="1:8" ht="36" x14ac:dyDescent="0.2">
      <c r="A827" s="84" t="s">
        <v>217</v>
      </c>
      <c r="B827" s="30" t="s">
        <v>796</v>
      </c>
      <c r="C827" s="30" t="s">
        <v>214</v>
      </c>
      <c r="D827" s="30" t="s">
        <v>825</v>
      </c>
      <c r="E827" s="30" t="s">
        <v>392</v>
      </c>
      <c r="F827" s="30" t="s">
        <v>218</v>
      </c>
      <c r="G827" s="41">
        <f t="shared" si="38"/>
        <v>1946</v>
      </c>
      <c r="H827" s="41">
        <f t="shared" si="38"/>
        <v>1946</v>
      </c>
    </row>
    <row r="828" spans="1:8" x14ac:dyDescent="0.2">
      <c r="A828" s="84" t="s">
        <v>219</v>
      </c>
      <c r="B828" s="30" t="s">
        <v>796</v>
      </c>
      <c r="C828" s="30" t="s">
        <v>214</v>
      </c>
      <c r="D828" s="30" t="s">
        <v>825</v>
      </c>
      <c r="E828" s="30" t="s">
        <v>392</v>
      </c>
      <c r="F828" s="30" t="s">
        <v>224</v>
      </c>
      <c r="G828" s="41">
        <v>1946</v>
      </c>
      <c r="H828" s="41">
        <v>1946</v>
      </c>
    </row>
    <row r="829" spans="1:8" ht="36" x14ac:dyDescent="0.2">
      <c r="A829" s="80" t="s">
        <v>500</v>
      </c>
      <c r="B829" s="24" t="s">
        <v>796</v>
      </c>
      <c r="C829" s="24" t="s">
        <v>214</v>
      </c>
      <c r="D829" s="24" t="s">
        <v>817</v>
      </c>
      <c r="E829" s="24"/>
      <c r="F829" s="24"/>
      <c r="G829" s="42">
        <f>G830+G835</f>
        <v>22847</v>
      </c>
      <c r="H829" s="42">
        <f>H830+H835</f>
        <v>22847</v>
      </c>
    </row>
    <row r="830" spans="1:8" ht="24" x14ac:dyDescent="0.2">
      <c r="A830" s="83" t="s">
        <v>141</v>
      </c>
      <c r="B830" s="25" t="s">
        <v>796</v>
      </c>
      <c r="C830" s="25" t="s">
        <v>214</v>
      </c>
      <c r="D830" s="25" t="s">
        <v>817</v>
      </c>
      <c r="E830" s="67" t="s">
        <v>393</v>
      </c>
      <c r="F830" s="58"/>
      <c r="G830" s="45">
        <f t="shared" ref="G830:H833" si="39">G831</f>
        <v>19067</v>
      </c>
      <c r="H830" s="45">
        <f t="shared" si="39"/>
        <v>19067</v>
      </c>
    </row>
    <row r="831" spans="1:8" x14ac:dyDescent="0.2">
      <c r="A831" s="80" t="s">
        <v>250</v>
      </c>
      <c r="B831" s="24" t="s">
        <v>796</v>
      </c>
      <c r="C831" s="24" t="s">
        <v>214</v>
      </c>
      <c r="D831" s="24" t="s">
        <v>817</v>
      </c>
      <c r="E831" s="97" t="s">
        <v>287</v>
      </c>
      <c r="F831" s="37"/>
      <c r="G831" s="42">
        <f t="shared" si="39"/>
        <v>19067</v>
      </c>
      <c r="H831" s="42">
        <f t="shared" si="39"/>
        <v>19067</v>
      </c>
    </row>
    <row r="832" spans="1:8" x14ac:dyDescent="0.2">
      <c r="A832" s="73" t="s">
        <v>142</v>
      </c>
      <c r="B832" s="88" t="s">
        <v>796</v>
      </c>
      <c r="C832" s="88" t="s">
        <v>214</v>
      </c>
      <c r="D832" s="88" t="s">
        <v>817</v>
      </c>
      <c r="E832" s="88" t="s">
        <v>397</v>
      </c>
      <c r="F832" s="89"/>
      <c r="G832" s="42">
        <f t="shared" si="39"/>
        <v>19067</v>
      </c>
      <c r="H832" s="42">
        <f t="shared" si="39"/>
        <v>19067</v>
      </c>
    </row>
    <row r="833" spans="1:8" ht="36" x14ac:dyDescent="0.2">
      <c r="A833" s="84" t="s">
        <v>217</v>
      </c>
      <c r="B833" s="30" t="s">
        <v>796</v>
      </c>
      <c r="C833" s="30" t="s">
        <v>214</v>
      </c>
      <c r="D833" s="30" t="s">
        <v>817</v>
      </c>
      <c r="E833" s="30" t="s">
        <v>397</v>
      </c>
      <c r="F833" s="30" t="s">
        <v>218</v>
      </c>
      <c r="G833" s="41">
        <f t="shared" si="39"/>
        <v>19067</v>
      </c>
      <c r="H833" s="41">
        <f t="shared" si="39"/>
        <v>19067</v>
      </c>
    </row>
    <row r="834" spans="1:8" x14ac:dyDescent="0.2">
      <c r="A834" s="84" t="s">
        <v>219</v>
      </c>
      <c r="B834" s="30" t="s">
        <v>796</v>
      </c>
      <c r="C834" s="30" t="s">
        <v>214</v>
      </c>
      <c r="D834" s="30" t="s">
        <v>817</v>
      </c>
      <c r="E834" s="30" t="s">
        <v>397</v>
      </c>
      <c r="F834" s="30" t="s">
        <v>224</v>
      </c>
      <c r="G834" s="41">
        <f>14008+700+4359</f>
        <v>19067</v>
      </c>
      <c r="H834" s="41">
        <f>14008+700+4359</f>
        <v>19067</v>
      </c>
    </row>
    <row r="835" spans="1:8" x14ac:dyDescent="0.2">
      <c r="A835" s="80" t="s">
        <v>298</v>
      </c>
      <c r="B835" s="24" t="s">
        <v>796</v>
      </c>
      <c r="C835" s="24" t="s">
        <v>214</v>
      </c>
      <c r="D835" s="24" t="s">
        <v>817</v>
      </c>
      <c r="E835" s="24" t="s">
        <v>398</v>
      </c>
      <c r="F835" s="30"/>
      <c r="G835" s="42">
        <f>G836+G838</f>
        <v>3780</v>
      </c>
      <c r="H835" s="42">
        <f>H836+H838</f>
        <v>3780</v>
      </c>
    </row>
    <row r="836" spans="1:8" x14ac:dyDescent="0.2">
      <c r="A836" s="84" t="s">
        <v>473</v>
      </c>
      <c r="B836" s="30" t="s">
        <v>796</v>
      </c>
      <c r="C836" s="30" t="s">
        <v>214</v>
      </c>
      <c r="D836" s="30" t="s">
        <v>817</v>
      </c>
      <c r="E836" s="30" t="s">
        <v>398</v>
      </c>
      <c r="F836" s="30" t="s">
        <v>226</v>
      </c>
      <c r="G836" s="41">
        <f>G837</f>
        <v>3755</v>
      </c>
      <c r="H836" s="41">
        <f>H837</f>
        <v>3755</v>
      </c>
    </row>
    <row r="837" spans="1:8" ht="24" x14ac:dyDescent="0.2">
      <c r="A837" s="84" t="s">
        <v>227</v>
      </c>
      <c r="B837" s="30" t="s">
        <v>796</v>
      </c>
      <c r="C837" s="30" t="s">
        <v>214</v>
      </c>
      <c r="D837" s="30" t="s">
        <v>817</v>
      </c>
      <c r="E837" s="30" t="s">
        <v>398</v>
      </c>
      <c r="F837" s="30" t="s">
        <v>228</v>
      </c>
      <c r="G837" s="41">
        <v>3755</v>
      </c>
      <c r="H837" s="41">
        <v>3755</v>
      </c>
    </row>
    <row r="838" spans="1:8" x14ac:dyDescent="0.2">
      <c r="A838" s="84" t="s">
        <v>229</v>
      </c>
      <c r="B838" s="30" t="s">
        <v>796</v>
      </c>
      <c r="C838" s="30" t="s">
        <v>214</v>
      </c>
      <c r="D838" s="30" t="s">
        <v>817</v>
      </c>
      <c r="E838" s="30" t="s">
        <v>398</v>
      </c>
      <c r="F838" s="30" t="s">
        <v>230</v>
      </c>
      <c r="G838" s="41">
        <f>G839</f>
        <v>25</v>
      </c>
      <c r="H838" s="41">
        <f>H839</f>
        <v>25</v>
      </c>
    </row>
    <row r="839" spans="1:8" x14ac:dyDescent="0.2">
      <c r="A839" s="84" t="s">
        <v>106</v>
      </c>
      <c r="B839" s="30" t="s">
        <v>796</v>
      </c>
      <c r="C839" s="30" t="s">
        <v>214</v>
      </c>
      <c r="D839" s="30" t="s">
        <v>817</v>
      </c>
      <c r="E839" s="30" t="s">
        <v>398</v>
      </c>
      <c r="F839" s="30" t="s">
        <v>231</v>
      </c>
      <c r="G839" s="41">
        <v>25</v>
      </c>
      <c r="H839" s="41">
        <v>25</v>
      </c>
    </row>
    <row r="840" spans="1:8" x14ac:dyDescent="0.2">
      <c r="A840" s="83" t="s">
        <v>146</v>
      </c>
      <c r="B840" s="25" t="s">
        <v>796</v>
      </c>
      <c r="C840" s="25" t="s">
        <v>214</v>
      </c>
      <c r="D840" s="25" t="s">
        <v>235</v>
      </c>
      <c r="E840" s="25" t="s">
        <v>382</v>
      </c>
      <c r="F840" s="25"/>
      <c r="G840" s="45">
        <f t="shared" ref="G840:H844" si="40">G841</f>
        <v>2194</v>
      </c>
      <c r="H840" s="45">
        <f t="shared" si="40"/>
        <v>2194</v>
      </c>
    </row>
    <row r="841" spans="1:8" x14ac:dyDescent="0.2">
      <c r="A841" s="80" t="s">
        <v>250</v>
      </c>
      <c r="B841" s="24" t="s">
        <v>796</v>
      </c>
      <c r="C841" s="24" t="s">
        <v>214</v>
      </c>
      <c r="D841" s="24" t="s">
        <v>235</v>
      </c>
      <c r="E841" s="24" t="s">
        <v>383</v>
      </c>
      <c r="F841" s="24"/>
      <c r="G841" s="42">
        <f t="shared" si="40"/>
        <v>2194</v>
      </c>
      <c r="H841" s="42">
        <f t="shared" si="40"/>
        <v>2194</v>
      </c>
    </row>
    <row r="842" spans="1:8" ht="24" x14ac:dyDescent="0.2">
      <c r="A842" s="85" t="s">
        <v>139</v>
      </c>
      <c r="B842" s="33" t="s">
        <v>796</v>
      </c>
      <c r="C842" s="33" t="s">
        <v>214</v>
      </c>
      <c r="D842" s="33" t="s">
        <v>235</v>
      </c>
      <c r="E842" s="33" t="s">
        <v>399</v>
      </c>
      <c r="F842" s="33"/>
      <c r="G842" s="101">
        <f t="shared" si="40"/>
        <v>2194</v>
      </c>
      <c r="H842" s="101">
        <f t="shared" si="40"/>
        <v>2194</v>
      </c>
    </row>
    <row r="843" spans="1:8" ht="24" x14ac:dyDescent="0.2">
      <c r="A843" s="82" t="s">
        <v>149</v>
      </c>
      <c r="B843" s="24" t="s">
        <v>796</v>
      </c>
      <c r="C843" s="24" t="s">
        <v>214</v>
      </c>
      <c r="D843" s="24" t="s">
        <v>235</v>
      </c>
      <c r="E843" s="24" t="s">
        <v>399</v>
      </c>
      <c r="F843" s="24"/>
      <c r="G843" s="42">
        <f t="shared" si="40"/>
        <v>2194</v>
      </c>
      <c r="H843" s="42">
        <f t="shared" si="40"/>
        <v>2194</v>
      </c>
    </row>
    <row r="844" spans="1:8" ht="36" x14ac:dyDescent="0.2">
      <c r="A844" s="84" t="s">
        <v>217</v>
      </c>
      <c r="B844" s="30" t="s">
        <v>796</v>
      </c>
      <c r="C844" s="30" t="s">
        <v>214</v>
      </c>
      <c r="D844" s="30" t="s">
        <v>235</v>
      </c>
      <c r="E844" s="30" t="s">
        <v>399</v>
      </c>
      <c r="F844" s="30" t="s">
        <v>218</v>
      </c>
      <c r="G844" s="41">
        <f t="shared" si="40"/>
        <v>2194</v>
      </c>
      <c r="H844" s="41">
        <f t="shared" si="40"/>
        <v>2194</v>
      </c>
    </row>
    <row r="845" spans="1:8" x14ac:dyDescent="0.2">
      <c r="A845" s="84" t="s">
        <v>219</v>
      </c>
      <c r="B845" s="30" t="s">
        <v>796</v>
      </c>
      <c r="C845" s="30" t="s">
        <v>214</v>
      </c>
      <c r="D845" s="30" t="s">
        <v>235</v>
      </c>
      <c r="E845" s="30" t="s">
        <v>399</v>
      </c>
      <c r="F845" s="30" t="s">
        <v>224</v>
      </c>
      <c r="G845" s="41">
        <v>2194</v>
      </c>
      <c r="H845" s="41">
        <v>2194</v>
      </c>
    </row>
    <row r="846" spans="1:8" ht="31.5" x14ac:dyDescent="0.2">
      <c r="A846" s="79" t="s">
        <v>682</v>
      </c>
      <c r="B846" s="46" t="s">
        <v>683</v>
      </c>
      <c r="C846" s="46"/>
      <c r="D846" s="46"/>
      <c r="E846" s="46"/>
      <c r="F846" s="90"/>
      <c r="G846" s="102">
        <f t="shared" ref="G846:H849" si="41">G847</f>
        <v>14722</v>
      </c>
      <c r="H846" s="102">
        <f t="shared" si="41"/>
        <v>14722</v>
      </c>
    </row>
    <row r="847" spans="1:8" x14ac:dyDescent="0.2">
      <c r="A847" s="80" t="s">
        <v>256</v>
      </c>
      <c r="B847" s="24" t="s">
        <v>683</v>
      </c>
      <c r="C847" s="24" t="s">
        <v>214</v>
      </c>
      <c r="D847" s="24" t="s">
        <v>215</v>
      </c>
      <c r="E847" s="24"/>
      <c r="F847" s="31"/>
      <c r="G847" s="42">
        <f t="shared" si="41"/>
        <v>14722</v>
      </c>
      <c r="H847" s="42">
        <f t="shared" si="41"/>
        <v>14722</v>
      </c>
    </row>
    <row r="848" spans="1:8" ht="24" x14ac:dyDescent="0.2">
      <c r="A848" s="80" t="s">
        <v>506</v>
      </c>
      <c r="B848" s="24" t="s">
        <v>683</v>
      </c>
      <c r="C848" s="24" t="s">
        <v>214</v>
      </c>
      <c r="D848" s="24" t="s">
        <v>474</v>
      </c>
      <c r="E848" s="24"/>
      <c r="F848" s="24"/>
      <c r="G848" s="42">
        <f t="shared" si="41"/>
        <v>14722</v>
      </c>
      <c r="H848" s="42">
        <f t="shared" si="41"/>
        <v>14722</v>
      </c>
    </row>
    <row r="849" spans="1:8" ht="24" x14ac:dyDescent="0.2">
      <c r="A849" s="81" t="s">
        <v>686</v>
      </c>
      <c r="B849" s="25" t="s">
        <v>683</v>
      </c>
      <c r="C849" s="25" t="s">
        <v>214</v>
      </c>
      <c r="D849" s="25" t="s">
        <v>474</v>
      </c>
      <c r="E849" s="25" t="s">
        <v>400</v>
      </c>
      <c r="F849" s="33"/>
      <c r="G849" s="45">
        <f t="shared" si="41"/>
        <v>14722</v>
      </c>
      <c r="H849" s="45">
        <f t="shared" si="41"/>
        <v>14722</v>
      </c>
    </row>
    <row r="850" spans="1:8" x14ac:dyDescent="0.2">
      <c r="A850" s="82" t="s">
        <v>476</v>
      </c>
      <c r="B850" s="24" t="s">
        <v>683</v>
      </c>
      <c r="C850" s="24" t="s">
        <v>214</v>
      </c>
      <c r="D850" s="24" t="s">
        <v>474</v>
      </c>
      <c r="E850" s="24" t="s">
        <v>401</v>
      </c>
      <c r="F850" s="24"/>
      <c r="G850" s="42">
        <f>G851+G854</f>
        <v>14722</v>
      </c>
      <c r="H850" s="42">
        <f>H851+H854</f>
        <v>14722</v>
      </c>
    </row>
    <row r="851" spans="1:8" ht="24" x14ac:dyDescent="0.2">
      <c r="A851" s="82" t="s">
        <v>151</v>
      </c>
      <c r="B851" s="24" t="s">
        <v>683</v>
      </c>
      <c r="C851" s="24" t="s">
        <v>214</v>
      </c>
      <c r="D851" s="24" t="s">
        <v>474</v>
      </c>
      <c r="E851" s="24" t="s">
        <v>402</v>
      </c>
      <c r="F851" s="24"/>
      <c r="G851" s="42">
        <f>G852</f>
        <v>11923</v>
      </c>
      <c r="H851" s="42">
        <f>H852</f>
        <v>11923</v>
      </c>
    </row>
    <row r="852" spans="1:8" ht="36" x14ac:dyDescent="0.2">
      <c r="A852" s="84" t="s">
        <v>217</v>
      </c>
      <c r="B852" s="30" t="s">
        <v>683</v>
      </c>
      <c r="C852" s="30" t="s">
        <v>214</v>
      </c>
      <c r="D852" s="30" t="s">
        <v>474</v>
      </c>
      <c r="E852" s="30" t="s">
        <v>402</v>
      </c>
      <c r="F852" s="30" t="s">
        <v>218</v>
      </c>
      <c r="G852" s="41">
        <f>G853</f>
        <v>11923</v>
      </c>
      <c r="H852" s="41">
        <f>H853</f>
        <v>11923</v>
      </c>
    </row>
    <row r="853" spans="1:8" x14ac:dyDescent="0.2">
      <c r="A853" s="84" t="s">
        <v>219</v>
      </c>
      <c r="B853" s="30" t="s">
        <v>683</v>
      </c>
      <c r="C853" s="30" t="s">
        <v>214</v>
      </c>
      <c r="D853" s="30" t="s">
        <v>474</v>
      </c>
      <c r="E853" s="30" t="s">
        <v>402</v>
      </c>
      <c r="F853" s="30" t="s">
        <v>224</v>
      </c>
      <c r="G853" s="41">
        <f>9403+20+2500</f>
        <v>11923</v>
      </c>
      <c r="H853" s="41">
        <f>9403+20+2500</f>
        <v>11923</v>
      </c>
    </row>
    <row r="854" spans="1:8" ht="24" x14ac:dyDescent="0.2">
      <c r="A854" s="80" t="s">
        <v>152</v>
      </c>
      <c r="B854" s="24" t="s">
        <v>683</v>
      </c>
      <c r="C854" s="24" t="s">
        <v>214</v>
      </c>
      <c r="D854" s="24" t="s">
        <v>474</v>
      </c>
      <c r="E854" s="24" t="s">
        <v>403</v>
      </c>
      <c r="F854" s="24"/>
      <c r="G854" s="42">
        <f>G855+G857</f>
        <v>2799</v>
      </c>
      <c r="H854" s="42">
        <f>H855+H857</f>
        <v>2799</v>
      </c>
    </row>
    <row r="855" spans="1:8" x14ac:dyDescent="0.2">
      <c r="A855" s="84" t="s">
        <v>473</v>
      </c>
      <c r="B855" s="30" t="s">
        <v>683</v>
      </c>
      <c r="C855" s="30" t="s">
        <v>214</v>
      </c>
      <c r="D855" s="30" t="s">
        <v>474</v>
      </c>
      <c r="E855" s="30" t="s">
        <v>403</v>
      </c>
      <c r="F855" s="30" t="s">
        <v>226</v>
      </c>
      <c r="G855" s="41">
        <f>G856</f>
        <v>2785</v>
      </c>
      <c r="H855" s="41">
        <f>H856</f>
        <v>2785</v>
      </c>
    </row>
    <row r="856" spans="1:8" ht="24" x14ac:dyDescent="0.2">
      <c r="A856" s="84" t="s">
        <v>227</v>
      </c>
      <c r="B856" s="30" t="s">
        <v>683</v>
      </c>
      <c r="C856" s="30" t="s">
        <v>214</v>
      </c>
      <c r="D856" s="30" t="s">
        <v>474</v>
      </c>
      <c r="E856" s="30" t="s">
        <v>403</v>
      </c>
      <c r="F856" s="30" t="s">
        <v>228</v>
      </c>
      <c r="G856" s="41">
        <v>2785</v>
      </c>
      <c r="H856" s="41">
        <v>2785</v>
      </c>
    </row>
    <row r="857" spans="1:8" x14ac:dyDescent="0.2">
      <c r="A857" s="84" t="s">
        <v>229</v>
      </c>
      <c r="B857" s="30" t="s">
        <v>683</v>
      </c>
      <c r="C857" s="30" t="s">
        <v>214</v>
      </c>
      <c r="D857" s="30" t="s">
        <v>474</v>
      </c>
      <c r="E857" s="30" t="s">
        <v>403</v>
      </c>
      <c r="F857" s="30" t="s">
        <v>230</v>
      </c>
      <c r="G857" s="41">
        <f>G858</f>
        <v>14</v>
      </c>
      <c r="H857" s="41">
        <f>H858</f>
        <v>14</v>
      </c>
    </row>
    <row r="858" spans="1:8" x14ac:dyDescent="0.2">
      <c r="A858" s="84" t="s">
        <v>106</v>
      </c>
      <c r="B858" s="30" t="s">
        <v>683</v>
      </c>
      <c r="C858" s="30" t="s">
        <v>214</v>
      </c>
      <c r="D858" s="30" t="s">
        <v>474</v>
      </c>
      <c r="E858" s="30" t="s">
        <v>403</v>
      </c>
      <c r="F858" s="30" t="s">
        <v>231</v>
      </c>
      <c r="G858" s="41">
        <v>14</v>
      </c>
      <c r="H858" s="41">
        <v>14</v>
      </c>
    </row>
    <row r="859" spans="1:8" x14ac:dyDescent="0.2">
      <c r="A859" s="241" t="s">
        <v>591</v>
      </c>
      <c r="B859" s="241"/>
      <c r="C859" s="241"/>
      <c r="D859" s="241"/>
      <c r="E859" s="241"/>
      <c r="F859" s="241"/>
      <c r="G859" s="42">
        <f>3984811.4*2.6%</f>
        <v>103605.09640000001</v>
      </c>
      <c r="H859" s="42">
        <f>3868323*5%</f>
        <v>193416.15000000002</v>
      </c>
    </row>
    <row r="860" spans="1:8" hidden="1" x14ac:dyDescent="0.2">
      <c r="A860" s="119"/>
      <c r="B860" s="120"/>
      <c r="C860" s="120"/>
      <c r="D860" s="120"/>
      <c r="E860" s="120"/>
      <c r="F860" s="120"/>
      <c r="G860" s="130"/>
    </row>
    <row r="861" spans="1:8" ht="39" hidden="1" customHeight="1" x14ac:dyDescent="0.2">
      <c r="A861" s="242" t="s">
        <v>641</v>
      </c>
      <c r="B861" s="242"/>
      <c r="C861" s="242"/>
      <c r="D861" s="10"/>
      <c r="E861" s="10"/>
      <c r="F861" s="10"/>
    </row>
    <row r="862" spans="1:8" x14ac:dyDescent="0.2">
      <c r="A862" s="56"/>
      <c r="B862" s="10"/>
      <c r="C862" s="10"/>
      <c r="D862" s="10"/>
      <c r="E862" s="10"/>
      <c r="F862" s="10"/>
    </row>
    <row r="863" spans="1:8" ht="34.5" customHeight="1" x14ac:dyDescent="0.25">
      <c r="A863" s="183"/>
      <c r="B863" s="10"/>
      <c r="C863" s="10"/>
      <c r="D863" s="10"/>
      <c r="E863" s="10"/>
      <c r="F863" s="10"/>
    </row>
    <row r="864" spans="1:8" x14ac:dyDescent="0.2">
      <c r="A864" s="56"/>
      <c r="B864" s="10"/>
      <c r="C864" s="10"/>
      <c r="D864" s="10"/>
      <c r="E864" s="10"/>
      <c r="F864" s="10"/>
    </row>
    <row r="865" spans="1:6" x14ac:dyDescent="0.2">
      <c r="A865" s="56"/>
      <c r="B865" s="10"/>
      <c r="C865" s="10"/>
      <c r="D865" s="10"/>
      <c r="E865" s="10"/>
      <c r="F865" s="10"/>
    </row>
    <row r="866" spans="1:6" x14ac:dyDescent="0.2">
      <c r="A866" s="56"/>
      <c r="B866" s="10"/>
      <c r="C866" s="10"/>
      <c r="D866" s="10"/>
      <c r="E866" s="10"/>
      <c r="F866" s="10"/>
    </row>
    <row r="867" spans="1:6" x14ac:dyDescent="0.2">
      <c r="A867" s="56"/>
      <c r="B867" s="10"/>
      <c r="C867" s="10"/>
      <c r="D867" s="10"/>
      <c r="E867" s="10"/>
      <c r="F867" s="10"/>
    </row>
    <row r="868" spans="1:6" x14ac:dyDescent="0.2">
      <c r="A868" s="56"/>
      <c r="B868" s="10"/>
      <c r="C868" s="10"/>
      <c r="D868" s="10"/>
      <c r="E868" s="10"/>
      <c r="F868" s="10"/>
    </row>
    <row r="869" spans="1:6" x14ac:dyDescent="0.2">
      <c r="A869" s="56"/>
      <c r="B869" s="10"/>
      <c r="C869" s="10"/>
      <c r="D869" s="10"/>
      <c r="E869" s="10"/>
      <c r="F869" s="10"/>
    </row>
    <row r="870" spans="1:6" x14ac:dyDescent="0.2">
      <c r="A870" s="56"/>
      <c r="B870" s="10"/>
      <c r="C870" s="10"/>
      <c r="D870" s="10"/>
      <c r="E870" s="10"/>
      <c r="F870" s="10"/>
    </row>
    <row r="871" spans="1:6" x14ac:dyDescent="0.2">
      <c r="A871" s="56"/>
      <c r="B871" s="10"/>
      <c r="C871" s="10"/>
      <c r="D871" s="10"/>
      <c r="E871" s="10"/>
      <c r="F871" s="10"/>
    </row>
    <row r="872" spans="1:6" x14ac:dyDescent="0.2">
      <c r="A872" s="56"/>
      <c r="B872" s="10"/>
      <c r="C872" s="10"/>
      <c r="D872" s="10"/>
      <c r="E872" s="10"/>
      <c r="F872" s="10"/>
    </row>
    <row r="873" spans="1:6" x14ac:dyDescent="0.2">
      <c r="A873" s="56"/>
      <c r="B873" s="10"/>
      <c r="C873" s="10"/>
      <c r="D873" s="10"/>
      <c r="E873" s="10"/>
      <c r="F873" s="10"/>
    </row>
    <row r="874" spans="1:6" x14ac:dyDescent="0.2">
      <c r="A874" s="56"/>
      <c r="B874" s="10"/>
      <c r="C874" s="10"/>
      <c r="D874" s="10"/>
      <c r="E874" s="10"/>
      <c r="F874" s="10"/>
    </row>
    <row r="875" spans="1:6" x14ac:dyDescent="0.2">
      <c r="A875" s="56"/>
      <c r="B875" s="10"/>
      <c r="C875" s="10"/>
      <c r="D875" s="10"/>
      <c r="E875" s="10"/>
      <c r="F875" s="10"/>
    </row>
    <row r="876" spans="1:6" x14ac:dyDescent="0.2">
      <c r="A876" s="56"/>
      <c r="B876" s="10"/>
      <c r="C876" s="10"/>
      <c r="D876" s="10"/>
      <c r="E876" s="10"/>
      <c r="F876" s="10"/>
    </row>
    <row r="877" spans="1:6" x14ac:dyDescent="0.2">
      <c r="A877" s="56"/>
      <c r="B877" s="10"/>
      <c r="C877" s="10"/>
      <c r="D877" s="10"/>
      <c r="E877" s="10"/>
      <c r="F877" s="10"/>
    </row>
    <row r="878" spans="1:6" x14ac:dyDescent="0.2">
      <c r="A878" s="56"/>
      <c r="B878" s="10"/>
      <c r="C878" s="10"/>
      <c r="D878" s="10"/>
      <c r="E878" s="10"/>
      <c r="F878" s="10"/>
    </row>
    <row r="879" spans="1:6" x14ac:dyDescent="0.2">
      <c r="A879" s="56"/>
      <c r="B879" s="10"/>
      <c r="C879" s="10"/>
      <c r="D879" s="10"/>
      <c r="E879" s="10"/>
      <c r="F879" s="10"/>
    </row>
    <row r="880" spans="1:6" x14ac:dyDescent="0.2">
      <c r="A880" s="56"/>
      <c r="B880" s="10"/>
      <c r="C880" s="10"/>
      <c r="D880" s="10"/>
      <c r="E880" s="10"/>
      <c r="F880" s="10"/>
    </row>
    <row r="881" spans="1:6" x14ac:dyDescent="0.2">
      <c r="A881" s="56"/>
      <c r="B881" s="10"/>
      <c r="C881" s="10"/>
      <c r="D881" s="10"/>
      <c r="E881" s="10"/>
      <c r="F881" s="10"/>
    </row>
    <row r="882" spans="1:6" x14ac:dyDescent="0.2">
      <c r="A882" s="56"/>
      <c r="B882" s="10"/>
      <c r="C882" s="10"/>
      <c r="D882" s="10"/>
      <c r="E882" s="10"/>
      <c r="F882" s="10"/>
    </row>
    <row r="883" spans="1:6" x14ac:dyDescent="0.2">
      <c r="A883" s="56"/>
      <c r="B883" s="10"/>
      <c r="C883" s="10"/>
      <c r="D883" s="10"/>
      <c r="E883" s="10"/>
      <c r="F883" s="10"/>
    </row>
    <row r="884" spans="1:6" x14ac:dyDescent="0.2">
      <c r="A884" s="56"/>
      <c r="B884" s="10"/>
      <c r="C884" s="10"/>
      <c r="D884" s="10"/>
      <c r="E884" s="10"/>
      <c r="F884" s="10"/>
    </row>
    <row r="885" spans="1:6" x14ac:dyDescent="0.2">
      <c r="A885" s="56"/>
      <c r="B885" s="10"/>
      <c r="C885" s="10"/>
      <c r="D885" s="10"/>
      <c r="E885" s="10"/>
      <c r="F885" s="10"/>
    </row>
    <row r="886" spans="1:6" x14ac:dyDescent="0.2">
      <c r="A886" s="56"/>
      <c r="B886" s="10"/>
      <c r="C886" s="10"/>
      <c r="D886" s="10"/>
      <c r="E886" s="10"/>
      <c r="F886" s="10"/>
    </row>
    <row r="887" spans="1:6" x14ac:dyDescent="0.2">
      <c r="A887" s="56"/>
      <c r="B887" s="10"/>
      <c r="C887" s="10"/>
      <c r="D887" s="10"/>
      <c r="E887" s="10"/>
      <c r="F887" s="10"/>
    </row>
    <row r="888" spans="1:6" x14ac:dyDescent="0.2">
      <c r="A888" s="56"/>
      <c r="B888" s="10"/>
      <c r="C888" s="10"/>
      <c r="D888" s="10"/>
      <c r="E888" s="10"/>
      <c r="F888" s="10"/>
    </row>
    <row r="889" spans="1:6" x14ac:dyDescent="0.2">
      <c r="A889" s="56"/>
      <c r="B889" s="10"/>
      <c r="C889" s="10"/>
      <c r="D889" s="10"/>
      <c r="E889" s="10"/>
      <c r="F889" s="10"/>
    </row>
    <row r="890" spans="1:6" x14ac:dyDescent="0.2">
      <c r="A890" s="56"/>
      <c r="B890" s="10"/>
      <c r="C890" s="10"/>
      <c r="D890" s="10"/>
      <c r="E890" s="10"/>
      <c r="F890" s="10"/>
    </row>
    <row r="891" spans="1:6" x14ac:dyDescent="0.2">
      <c r="A891" s="56"/>
      <c r="B891" s="10"/>
      <c r="C891" s="10"/>
      <c r="D891" s="10"/>
      <c r="E891" s="10"/>
      <c r="F891" s="10"/>
    </row>
    <row r="892" spans="1:6" x14ac:dyDescent="0.2">
      <c r="A892" s="56"/>
      <c r="B892" s="10"/>
      <c r="C892" s="10"/>
      <c r="D892" s="10"/>
      <c r="E892" s="10"/>
      <c r="F892" s="10"/>
    </row>
    <row r="893" spans="1:6" x14ac:dyDescent="0.2">
      <c r="A893" s="56"/>
      <c r="B893" s="10"/>
      <c r="C893" s="10"/>
      <c r="D893" s="10"/>
      <c r="E893" s="10"/>
      <c r="F893" s="10"/>
    </row>
    <row r="894" spans="1:6" x14ac:dyDescent="0.2">
      <c r="A894" s="56"/>
      <c r="B894" s="10"/>
      <c r="C894" s="10"/>
      <c r="D894" s="10"/>
      <c r="E894" s="10"/>
      <c r="F894" s="10"/>
    </row>
    <row r="895" spans="1:6" x14ac:dyDescent="0.2">
      <c r="A895" s="56"/>
      <c r="B895" s="10"/>
      <c r="C895" s="10"/>
      <c r="D895" s="10"/>
      <c r="E895" s="10"/>
      <c r="F895" s="10"/>
    </row>
    <row r="896" spans="1:6" x14ac:dyDescent="0.2">
      <c r="A896" s="56"/>
      <c r="B896" s="10"/>
      <c r="C896" s="10"/>
      <c r="D896" s="10"/>
      <c r="E896" s="10"/>
      <c r="F896" s="10"/>
    </row>
    <row r="897" spans="1:6" x14ac:dyDescent="0.2">
      <c r="A897" s="56"/>
      <c r="B897" s="10"/>
      <c r="C897" s="10"/>
      <c r="D897" s="10"/>
      <c r="E897" s="10"/>
      <c r="F897" s="10"/>
    </row>
    <row r="898" spans="1:6" x14ac:dyDescent="0.2">
      <c r="A898" s="56"/>
      <c r="B898" s="10"/>
      <c r="C898" s="10"/>
      <c r="D898" s="10"/>
      <c r="E898" s="10"/>
      <c r="F898" s="10"/>
    </row>
  </sheetData>
  <autoFilter ref="A19:H859"/>
  <mergeCells count="23">
    <mergeCell ref="D5:H5"/>
    <mergeCell ref="C6:H6"/>
    <mergeCell ref="C7:H7"/>
    <mergeCell ref="D1:H1"/>
    <mergeCell ref="D2:H2"/>
    <mergeCell ref="D3:H3"/>
    <mergeCell ref="D4:H4"/>
    <mergeCell ref="E19:E20"/>
    <mergeCell ref="F19:F20"/>
    <mergeCell ref="A859:F859"/>
    <mergeCell ref="A861:C861"/>
    <mergeCell ref="A19:A20"/>
    <mergeCell ref="B19:B20"/>
    <mergeCell ref="C19:C20"/>
    <mergeCell ref="D19:D20"/>
    <mergeCell ref="A13:H13"/>
    <mergeCell ref="A18:H18"/>
    <mergeCell ref="A15:F15"/>
    <mergeCell ref="A9:H9"/>
    <mergeCell ref="A10:H10"/>
    <mergeCell ref="A11:H11"/>
    <mergeCell ref="A12:H12"/>
    <mergeCell ref="A16:H16"/>
  </mergeCells>
  <phoneticPr fontId="2" type="noConversion"/>
  <pageMargins left="0.59055118110236227" right="0.39370078740157483" top="0.39370078740157483" bottom="0.39370078740157483" header="0" footer="0"/>
  <pageSetup paperSize="9" orientation="landscape" r:id="rId1"/>
  <headerFooter alignWithMargins="0">
    <oddFooter>&amp;C&amp;P</oddFooter>
  </headerFooter>
  <rowBreaks count="2" manualBreakCount="2">
    <brk id="817" max="7" man="1"/>
    <brk id="8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2"/>
  </sheetPr>
  <dimension ref="A1:F991"/>
  <sheetViews>
    <sheetView view="pageBreakPreview" topLeftCell="A818" zoomScale="130" zoomScaleNormal="130" zoomScaleSheetLayoutView="130" workbookViewId="0">
      <selection activeCell="A838" sqref="A838"/>
    </sheetView>
  </sheetViews>
  <sheetFormatPr defaultRowHeight="12.75" x14ac:dyDescent="0.2"/>
  <cols>
    <col min="1" max="1" width="87" style="2" customWidth="1"/>
    <col min="2" max="3" width="7.5703125" style="23" customWidth="1"/>
    <col min="4" max="4" width="13.42578125" style="23" customWidth="1"/>
    <col min="5" max="5" width="9.42578125" style="23" customWidth="1"/>
    <col min="6" max="6" width="14.28515625" style="32" customWidth="1"/>
  </cols>
  <sheetData>
    <row r="1" spans="1:6" ht="15" x14ac:dyDescent="0.25">
      <c r="A1" s="192"/>
      <c r="B1" s="193"/>
      <c r="C1" s="192"/>
      <c r="D1" s="232" t="s">
        <v>347</v>
      </c>
      <c r="E1" s="232"/>
      <c r="F1" s="232"/>
    </row>
    <row r="2" spans="1:6" ht="15" x14ac:dyDescent="0.25">
      <c r="A2" s="232" t="s">
        <v>609</v>
      </c>
      <c r="B2" s="232"/>
      <c r="C2" s="232"/>
      <c r="D2" s="232"/>
      <c r="E2" s="232"/>
      <c r="F2" s="232"/>
    </row>
    <row r="3" spans="1:6" ht="15" x14ac:dyDescent="0.25">
      <c r="A3" s="232" t="s">
        <v>856</v>
      </c>
      <c r="B3" s="232"/>
      <c r="C3" s="232"/>
      <c r="D3" s="232"/>
      <c r="E3" s="232"/>
      <c r="F3" s="232"/>
    </row>
    <row r="4" spans="1:6" ht="15" x14ac:dyDescent="0.25">
      <c r="A4" s="232" t="s">
        <v>602</v>
      </c>
      <c r="B4" s="232"/>
      <c r="C4" s="232"/>
      <c r="D4" s="232"/>
      <c r="E4" s="232"/>
      <c r="F4" s="232"/>
    </row>
    <row r="5" spans="1:6" ht="15" x14ac:dyDescent="0.25">
      <c r="A5" s="232" t="s">
        <v>603</v>
      </c>
      <c r="B5" s="232"/>
      <c r="C5" s="232"/>
      <c r="D5" s="232"/>
      <c r="E5" s="232"/>
      <c r="F5" s="232"/>
    </row>
    <row r="6" spans="1:6" ht="15" x14ac:dyDescent="0.25">
      <c r="A6" s="232" t="s">
        <v>610</v>
      </c>
      <c r="B6" s="232"/>
      <c r="C6" s="232"/>
      <c r="D6" s="232"/>
      <c r="E6" s="232"/>
      <c r="F6" s="232"/>
    </row>
    <row r="7" spans="1:6" ht="15" x14ac:dyDescent="0.25">
      <c r="A7" s="232" t="s">
        <v>604</v>
      </c>
      <c r="B7" s="232"/>
      <c r="C7" s="232"/>
      <c r="D7" s="232"/>
      <c r="E7" s="232"/>
      <c r="F7" s="232"/>
    </row>
    <row r="10" spans="1:6" ht="15" x14ac:dyDescent="0.25">
      <c r="A10" s="232" t="s">
        <v>317</v>
      </c>
      <c r="B10" s="232"/>
      <c r="C10" s="232"/>
      <c r="D10" s="232"/>
      <c r="E10" s="232"/>
      <c r="F10" s="232"/>
    </row>
    <row r="11" spans="1:6" ht="15" x14ac:dyDescent="0.25">
      <c r="A11" s="232" t="s">
        <v>608</v>
      </c>
      <c r="B11" s="232"/>
      <c r="C11" s="232"/>
      <c r="D11" s="232"/>
      <c r="E11" s="232"/>
      <c r="F11" s="232"/>
    </row>
    <row r="12" spans="1:6" ht="15" x14ac:dyDescent="0.25">
      <c r="A12" s="232" t="s">
        <v>605</v>
      </c>
      <c r="B12" s="232"/>
      <c r="C12" s="232"/>
      <c r="D12" s="232"/>
      <c r="E12" s="232"/>
      <c r="F12" s="232"/>
    </row>
    <row r="13" spans="1:6" ht="15" x14ac:dyDescent="0.25">
      <c r="A13" s="232" t="s">
        <v>606</v>
      </c>
      <c r="B13" s="232"/>
      <c r="C13" s="232"/>
      <c r="D13" s="232"/>
      <c r="E13" s="232"/>
      <c r="F13" s="232"/>
    </row>
    <row r="14" spans="1:6" ht="15" x14ac:dyDescent="0.25">
      <c r="A14" s="232" t="s">
        <v>607</v>
      </c>
      <c r="B14" s="232"/>
      <c r="C14" s="232"/>
      <c r="D14" s="232"/>
      <c r="E14" s="232"/>
      <c r="F14" s="232"/>
    </row>
    <row r="16" spans="1:6" ht="81" customHeight="1" x14ac:dyDescent="0.2">
      <c r="A16" s="245" t="s">
        <v>827</v>
      </c>
      <c r="B16" s="245"/>
      <c r="C16" s="245"/>
      <c r="D16" s="245"/>
      <c r="E16" s="245"/>
      <c r="F16" s="245"/>
    </row>
    <row r="17" spans="1:6" x14ac:dyDescent="0.2">
      <c r="A17" s="244" t="s">
        <v>802</v>
      </c>
      <c r="B17" s="244"/>
      <c r="C17" s="244"/>
      <c r="D17" s="244"/>
      <c r="E17" s="244"/>
      <c r="F17" s="244"/>
    </row>
    <row r="18" spans="1:6" ht="36" x14ac:dyDescent="0.2">
      <c r="A18" s="69" t="s">
        <v>252</v>
      </c>
      <c r="B18" s="69" t="s">
        <v>145</v>
      </c>
      <c r="C18" s="69" t="s">
        <v>144</v>
      </c>
      <c r="D18" s="69" t="s">
        <v>253</v>
      </c>
      <c r="E18" s="69" t="s">
        <v>696</v>
      </c>
      <c r="F18" s="69" t="s">
        <v>738</v>
      </c>
    </row>
    <row r="19" spans="1:6" ht="15.75" x14ac:dyDescent="0.2">
      <c r="A19" s="174" t="s">
        <v>255</v>
      </c>
      <c r="B19" s="22"/>
      <c r="C19" s="22"/>
      <c r="D19" s="22"/>
      <c r="E19" s="22"/>
      <c r="F19" s="100">
        <f>F20+F200+F215+F346+F535+F681+F743+F785+F812+F828+F526</f>
        <v>5317425.0162800001</v>
      </c>
    </row>
    <row r="20" spans="1:6" s="32" customFormat="1" x14ac:dyDescent="0.2">
      <c r="A20" s="66" t="s">
        <v>256</v>
      </c>
      <c r="B20" s="24" t="s">
        <v>214</v>
      </c>
      <c r="C20" s="24" t="s">
        <v>215</v>
      </c>
      <c r="D20" s="24"/>
      <c r="E20" s="24"/>
      <c r="F20" s="35">
        <f>F21+F28+F39+F58+F64+F90+F96+F85</f>
        <v>299654.74696000002</v>
      </c>
    </row>
    <row r="21" spans="1:6" s="32" customFormat="1" ht="24" x14ac:dyDescent="0.2">
      <c r="A21" s="80" t="s">
        <v>797</v>
      </c>
      <c r="B21" s="24" t="s">
        <v>214</v>
      </c>
      <c r="C21" s="24" t="s">
        <v>825</v>
      </c>
      <c r="D21" s="24"/>
      <c r="E21" s="24"/>
      <c r="F21" s="42">
        <f t="shared" ref="F21:F26" si="0">F22</f>
        <v>1946</v>
      </c>
    </row>
    <row r="22" spans="1:6" s="32" customFormat="1" x14ac:dyDescent="0.2">
      <c r="A22" s="83" t="s">
        <v>146</v>
      </c>
      <c r="B22" s="25" t="s">
        <v>214</v>
      </c>
      <c r="C22" s="25" t="s">
        <v>825</v>
      </c>
      <c r="D22" s="25" t="s">
        <v>388</v>
      </c>
      <c r="E22" s="25"/>
      <c r="F22" s="45">
        <f t="shared" si="0"/>
        <v>1946</v>
      </c>
    </row>
    <row r="23" spans="1:6" s="32" customFormat="1" x14ac:dyDescent="0.2">
      <c r="A23" s="80" t="s">
        <v>250</v>
      </c>
      <c r="B23" s="24" t="s">
        <v>214</v>
      </c>
      <c r="C23" s="24" t="s">
        <v>825</v>
      </c>
      <c r="D23" s="24" t="s">
        <v>389</v>
      </c>
      <c r="E23" s="24"/>
      <c r="F23" s="42">
        <f t="shared" si="0"/>
        <v>1946</v>
      </c>
    </row>
    <row r="24" spans="1:6" s="32" customFormat="1" x14ac:dyDescent="0.2">
      <c r="A24" s="85" t="s">
        <v>495</v>
      </c>
      <c r="B24" s="33" t="s">
        <v>214</v>
      </c>
      <c r="C24" s="33" t="s">
        <v>825</v>
      </c>
      <c r="D24" s="33" t="s">
        <v>390</v>
      </c>
      <c r="E24" s="30"/>
      <c r="F24" s="101">
        <f t="shared" si="0"/>
        <v>1946</v>
      </c>
    </row>
    <row r="25" spans="1:6" s="32" customFormat="1" x14ac:dyDescent="0.2">
      <c r="A25" s="73" t="s">
        <v>142</v>
      </c>
      <c r="B25" s="88" t="s">
        <v>214</v>
      </c>
      <c r="C25" s="88" t="s">
        <v>825</v>
      </c>
      <c r="D25" s="88" t="s">
        <v>391</v>
      </c>
      <c r="E25" s="89"/>
      <c r="F25" s="42">
        <f t="shared" si="0"/>
        <v>1946</v>
      </c>
    </row>
    <row r="26" spans="1:6" s="32" customFormat="1" ht="24" x14ac:dyDescent="0.2">
      <c r="A26" s="84" t="s">
        <v>217</v>
      </c>
      <c r="B26" s="30" t="s">
        <v>214</v>
      </c>
      <c r="C26" s="30" t="s">
        <v>825</v>
      </c>
      <c r="D26" s="30" t="s">
        <v>392</v>
      </c>
      <c r="E26" s="30" t="s">
        <v>218</v>
      </c>
      <c r="F26" s="41">
        <f t="shared" si="0"/>
        <v>1946</v>
      </c>
    </row>
    <row r="27" spans="1:6" s="32" customFormat="1" x14ac:dyDescent="0.2">
      <c r="A27" s="84" t="s">
        <v>219</v>
      </c>
      <c r="B27" s="30" t="s">
        <v>214</v>
      </c>
      <c r="C27" s="30" t="s">
        <v>825</v>
      </c>
      <c r="D27" s="30" t="s">
        <v>392</v>
      </c>
      <c r="E27" s="30" t="s">
        <v>224</v>
      </c>
      <c r="F27" s="41">
        <v>1946</v>
      </c>
    </row>
    <row r="28" spans="1:6" s="32" customFormat="1" ht="24" x14ac:dyDescent="0.2">
      <c r="A28" s="80" t="s">
        <v>500</v>
      </c>
      <c r="B28" s="24" t="s">
        <v>214</v>
      </c>
      <c r="C28" s="24" t="s">
        <v>817</v>
      </c>
      <c r="D28" s="24"/>
      <c r="E28" s="24"/>
      <c r="F28" s="42">
        <f>F29+F34</f>
        <v>22847</v>
      </c>
    </row>
    <row r="29" spans="1:6" s="32" customFormat="1" ht="13.5" x14ac:dyDescent="0.2">
      <c r="A29" s="83" t="s">
        <v>141</v>
      </c>
      <c r="B29" s="25" t="s">
        <v>214</v>
      </c>
      <c r="C29" s="25" t="s">
        <v>817</v>
      </c>
      <c r="D29" s="67" t="s">
        <v>393</v>
      </c>
      <c r="E29" s="58"/>
      <c r="F29" s="45">
        <f>F30</f>
        <v>18867</v>
      </c>
    </row>
    <row r="30" spans="1:6" s="32" customFormat="1" x14ac:dyDescent="0.2">
      <c r="A30" s="80" t="s">
        <v>250</v>
      </c>
      <c r="B30" s="24" t="s">
        <v>214</v>
      </c>
      <c r="C30" s="24" t="s">
        <v>817</v>
      </c>
      <c r="D30" s="97" t="s">
        <v>287</v>
      </c>
      <c r="E30" s="37"/>
      <c r="F30" s="42">
        <f>F31</f>
        <v>18867</v>
      </c>
    </row>
    <row r="31" spans="1:6" s="32" customFormat="1" x14ac:dyDescent="0.2">
      <c r="A31" s="73" t="s">
        <v>142</v>
      </c>
      <c r="B31" s="88" t="s">
        <v>214</v>
      </c>
      <c r="C31" s="88" t="s">
        <v>817</v>
      </c>
      <c r="D31" s="88" t="s">
        <v>397</v>
      </c>
      <c r="E31" s="89"/>
      <c r="F31" s="42">
        <f>F32</f>
        <v>18867</v>
      </c>
    </row>
    <row r="32" spans="1:6" s="32" customFormat="1" ht="24" x14ac:dyDescent="0.2">
      <c r="A32" s="84" t="s">
        <v>217</v>
      </c>
      <c r="B32" s="30" t="s">
        <v>214</v>
      </c>
      <c r="C32" s="30" t="s">
        <v>817</v>
      </c>
      <c r="D32" s="30" t="s">
        <v>397</v>
      </c>
      <c r="E32" s="30" t="s">
        <v>218</v>
      </c>
      <c r="F32" s="41">
        <f>F33</f>
        <v>18867</v>
      </c>
    </row>
    <row r="33" spans="1:6" s="32" customFormat="1" x14ac:dyDescent="0.2">
      <c r="A33" s="84" t="s">
        <v>219</v>
      </c>
      <c r="B33" s="30" t="s">
        <v>214</v>
      </c>
      <c r="C33" s="30" t="s">
        <v>817</v>
      </c>
      <c r="D33" s="30" t="s">
        <v>397</v>
      </c>
      <c r="E33" s="30" t="s">
        <v>224</v>
      </c>
      <c r="F33" s="41">
        <f>14008+700+4359-200</f>
        <v>18867</v>
      </c>
    </row>
    <row r="34" spans="1:6" s="32" customFormat="1" x14ac:dyDescent="0.2">
      <c r="A34" s="80" t="s">
        <v>298</v>
      </c>
      <c r="B34" s="24" t="s">
        <v>214</v>
      </c>
      <c r="C34" s="24" t="s">
        <v>817</v>
      </c>
      <c r="D34" s="24" t="s">
        <v>398</v>
      </c>
      <c r="E34" s="30"/>
      <c r="F34" s="42">
        <f>F35+F37</f>
        <v>3980</v>
      </c>
    </row>
    <row r="35" spans="1:6" s="32" customFormat="1" x14ac:dyDescent="0.2">
      <c r="A35" s="84" t="s">
        <v>473</v>
      </c>
      <c r="B35" s="30" t="s">
        <v>214</v>
      </c>
      <c r="C35" s="30" t="s">
        <v>817</v>
      </c>
      <c r="D35" s="30" t="s">
        <v>398</v>
      </c>
      <c r="E35" s="30" t="s">
        <v>226</v>
      </c>
      <c r="F35" s="41">
        <f>F36</f>
        <v>3955</v>
      </c>
    </row>
    <row r="36" spans="1:6" s="32" customFormat="1" x14ac:dyDescent="0.2">
      <c r="A36" s="84" t="s">
        <v>227</v>
      </c>
      <c r="B36" s="30" t="s">
        <v>214</v>
      </c>
      <c r="C36" s="30" t="s">
        <v>817</v>
      </c>
      <c r="D36" s="30" t="s">
        <v>398</v>
      </c>
      <c r="E36" s="30" t="s">
        <v>228</v>
      </c>
      <c r="F36" s="41">
        <f>3755+200</f>
        <v>3955</v>
      </c>
    </row>
    <row r="37" spans="1:6" s="32" customFormat="1" x14ac:dyDescent="0.2">
      <c r="A37" s="84" t="s">
        <v>229</v>
      </c>
      <c r="B37" s="30" t="s">
        <v>214</v>
      </c>
      <c r="C37" s="30" t="s">
        <v>817</v>
      </c>
      <c r="D37" s="30" t="s">
        <v>398</v>
      </c>
      <c r="E37" s="30" t="s">
        <v>230</v>
      </c>
      <c r="F37" s="41">
        <f>F38</f>
        <v>25</v>
      </c>
    </row>
    <row r="38" spans="1:6" s="32" customFormat="1" x14ac:dyDescent="0.2">
      <c r="A38" s="84" t="s">
        <v>106</v>
      </c>
      <c r="B38" s="30" t="s">
        <v>214</v>
      </c>
      <c r="C38" s="30" t="s">
        <v>817</v>
      </c>
      <c r="D38" s="30" t="s">
        <v>398</v>
      </c>
      <c r="E38" s="30" t="s">
        <v>231</v>
      </c>
      <c r="F38" s="41">
        <v>25</v>
      </c>
    </row>
    <row r="39" spans="1:6" s="32" customFormat="1" ht="24" x14ac:dyDescent="0.2">
      <c r="A39" s="66" t="s">
        <v>501</v>
      </c>
      <c r="B39" s="24" t="s">
        <v>214</v>
      </c>
      <c r="C39" s="24" t="s">
        <v>216</v>
      </c>
      <c r="D39" s="24"/>
      <c r="E39" s="24"/>
      <c r="F39" s="35">
        <f>F40+F46</f>
        <v>128498.61629000001</v>
      </c>
    </row>
    <row r="40" spans="1:6" s="32" customFormat="1" x14ac:dyDescent="0.2">
      <c r="A40" s="81" t="s">
        <v>212</v>
      </c>
      <c r="B40" s="25" t="s">
        <v>214</v>
      </c>
      <c r="C40" s="25" t="s">
        <v>216</v>
      </c>
      <c r="D40" s="25" t="s">
        <v>379</v>
      </c>
      <c r="E40" s="25"/>
      <c r="F40" s="45">
        <f>F41</f>
        <v>1800</v>
      </c>
    </row>
    <row r="41" spans="1:6" s="32" customFormat="1" x14ac:dyDescent="0.2">
      <c r="A41" s="82" t="s">
        <v>476</v>
      </c>
      <c r="B41" s="24" t="s">
        <v>214</v>
      </c>
      <c r="C41" s="24" t="s">
        <v>216</v>
      </c>
      <c r="D41" s="24" t="s">
        <v>380</v>
      </c>
      <c r="E41" s="24"/>
      <c r="F41" s="42">
        <f>F42</f>
        <v>1800</v>
      </c>
    </row>
    <row r="42" spans="1:6" s="32" customFormat="1" x14ac:dyDescent="0.2">
      <c r="A42" s="83" t="s">
        <v>502</v>
      </c>
      <c r="B42" s="25" t="s">
        <v>214</v>
      </c>
      <c r="C42" s="25" t="s">
        <v>216</v>
      </c>
      <c r="D42" s="25" t="s">
        <v>380</v>
      </c>
      <c r="E42" s="33"/>
      <c r="F42" s="101">
        <f>F43</f>
        <v>1800</v>
      </c>
    </row>
    <row r="43" spans="1:6" s="32" customFormat="1" x14ac:dyDescent="0.2">
      <c r="A43" s="82" t="s">
        <v>475</v>
      </c>
      <c r="B43" s="24" t="s">
        <v>214</v>
      </c>
      <c r="C43" s="24" t="s">
        <v>216</v>
      </c>
      <c r="D43" s="24" t="s">
        <v>381</v>
      </c>
      <c r="E43" s="24"/>
      <c r="F43" s="42">
        <f>F44</f>
        <v>1800</v>
      </c>
    </row>
    <row r="44" spans="1:6" s="32" customFormat="1" ht="24" x14ac:dyDescent="0.2">
      <c r="A44" s="84" t="s">
        <v>217</v>
      </c>
      <c r="B44" s="30" t="s">
        <v>214</v>
      </c>
      <c r="C44" s="30" t="s">
        <v>216</v>
      </c>
      <c r="D44" s="30" t="s">
        <v>381</v>
      </c>
      <c r="E44" s="30" t="s">
        <v>218</v>
      </c>
      <c r="F44" s="41">
        <f>F45</f>
        <v>1800</v>
      </c>
    </row>
    <row r="45" spans="1:6" s="32" customFormat="1" x14ac:dyDescent="0.2">
      <c r="A45" s="84" t="s">
        <v>219</v>
      </c>
      <c r="B45" s="30" t="s">
        <v>214</v>
      </c>
      <c r="C45" s="30" t="s">
        <v>216</v>
      </c>
      <c r="D45" s="30" t="s">
        <v>381</v>
      </c>
      <c r="E45" s="30" t="s">
        <v>224</v>
      </c>
      <c r="F45" s="41">
        <v>1800</v>
      </c>
    </row>
    <row r="46" spans="1:6" s="32" customFormat="1" x14ac:dyDescent="0.2">
      <c r="A46" s="81" t="s">
        <v>212</v>
      </c>
      <c r="B46" s="25" t="s">
        <v>214</v>
      </c>
      <c r="C46" s="25" t="s">
        <v>216</v>
      </c>
      <c r="D46" s="25" t="s">
        <v>382</v>
      </c>
      <c r="E46" s="25"/>
      <c r="F46" s="45">
        <f>F47</f>
        <v>126698.61629000001</v>
      </c>
    </row>
    <row r="47" spans="1:6" s="32" customFormat="1" x14ac:dyDescent="0.2">
      <c r="A47" s="82" t="s">
        <v>476</v>
      </c>
      <c r="B47" s="24" t="s">
        <v>214</v>
      </c>
      <c r="C47" s="24" t="s">
        <v>216</v>
      </c>
      <c r="D47" s="24" t="s">
        <v>383</v>
      </c>
      <c r="E47" s="25"/>
      <c r="F47" s="42">
        <f>F48+F53</f>
        <v>126698.61629000001</v>
      </c>
    </row>
    <row r="48" spans="1:6" s="32" customFormat="1" x14ac:dyDescent="0.2">
      <c r="A48" s="82" t="s">
        <v>138</v>
      </c>
      <c r="B48" s="24" t="s">
        <v>214</v>
      </c>
      <c r="C48" s="24" t="s">
        <v>216</v>
      </c>
      <c r="D48" s="24" t="s">
        <v>384</v>
      </c>
      <c r="E48" s="24"/>
      <c r="F48" s="42">
        <f>F49+F51</f>
        <v>102487.2</v>
      </c>
    </row>
    <row r="49" spans="1:6" s="32" customFormat="1" ht="24" x14ac:dyDescent="0.2">
      <c r="A49" s="84" t="s">
        <v>217</v>
      </c>
      <c r="B49" s="30" t="s">
        <v>214</v>
      </c>
      <c r="C49" s="30" t="s">
        <v>216</v>
      </c>
      <c r="D49" s="30" t="s">
        <v>384</v>
      </c>
      <c r="E49" s="30" t="s">
        <v>218</v>
      </c>
      <c r="F49" s="41">
        <f>F50</f>
        <v>102265.2</v>
      </c>
    </row>
    <row r="50" spans="1:6" s="32" customFormat="1" x14ac:dyDescent="0.2">
      <c r="A50" s="84" t="s">
        <v>219</v>
      </c>
      <c r="B50" s="30" t="s">
        <v>214</v>
      </c>
      <c r="C50" s="30" t="s">
        <v>216</v>
      </c>
      <c r="D50" s="30" t="s">
        <v>384</v>
      </c>
      <c r="E50" s="30" t="s">
        <v>224</v>
      </c>
      <c r="F50" s="41">
        <f>102347.2-62-20</f>
        <v>102265.2</v>
      </c>
    </row>
    <row r="51" spans="1:6" s="32" customFormat="1" x14ac:dyDescent="0.2">
      <c r="A51" s="84" t="s">
        <v>237</v>
      </c>
      <c r="B51" s="30" t="s">
        <v>214</v>
      </c>
      <c r="C51" s="30" t="s">
        <v>216</v>
      </c>
      <c r="D51" s="30" t="s">
        <v>384</v>
      </c>
      <c r="E51" s="30" t="s">
        <v>236</v>
      </c>
      <c r="F51" s="41">
        <f>F52</f>
        <v>222</v>
      </c>
    </row>
    <row r="52" spans="1:6" s="32" customFormat="1" x14ac:dyDescent="0.2">
      <c r="A52" s="84" t="s">
        <v>238</v>
      </c>
      <c r="B52" s="30" t="s">
        <v>214</v>
      </c>
      <c r="C52" s="30" t="s">
        <v>216</v>
      </c>
      <c r="D52" s="30" t="s">
        <v>384</v>
      </c>
      <c r="E52" s="30" t="s">
        <v>239</v>
      </c>
      <c r="F52" s="41">
        <f>160+62</f>
        <v>222</v>
      </c>
    </row>
    <row r="53" spans="1:6" s="32" customFormat="1" x14ac:dyDescent="0.2">
      <c r="A53" s="80" t="s">
        <v>225</v>
      </c>
      <c r="B53" s="24" t="s">
        <v>214</v>
      </c>
      <c r="C53" s="24" t="s">
        <v>216</v>
      </c>
      <c r="D53" s="24" t="s">
        <v>385</v>
      </c>
      <c r="E53" s="24"/>
      <c r="F53" s="42">
        <f>F54+F56</f>
        <v>24211.416290000001</v>
      </c>
    </row>
    <row r="54" spans="1:6" s="32" customFormat="1" x14ac:dyDescent="0.2">
      <c r="A54" s="84" t="s">
        <v>473</v>
      </c>
      <c r="B54" s="30" t="s">
        <v>214</v>
      </c>
      <c r="C54" s="30" t="s">
        <v>216</v>
      </c>
      <c r="D54" s="30" t="s">
        <v>385</v>
      </c>
      <c r="E54" s="30" t="s">
        <v>226</v>
      </c>
      <c r="F54" s="41">
        <f>F55</f>
        <v>22758</v>
      </c>
    </row>
    <row r="55" spans="1:6" s="32" customFormat="1" x14ac:dyDescent="0.2">
      <c r="A55" s="84" t="s">
        <v>227</v>
      </c>
      <c r="B55" s="30" t="s">
        <v>214</v>
      </c>
      <c r="C55" s="30" t="s">
        <v>216</v>
      </c>
      <c r="D55" s="30" t="s">
        <v>385</v>
      </c>
      <c r="E55" s="30" t="s">
        <v>228</v>
      </c>
      <c r="F55" s="41">
        <f>23363-90-500-15</f>
        <v>22758</v>
      </c>
    </row>
    <row r="56" spans="1:6" s="32" customFormat="1" x14ac:dyDescent="0.2">
      <c r="A56" s="84" t="s">
        <v>229</v>
      </c>
      <c r="B56" s="30" t="s">
        <v>214</v>
      </c>
      <c r="C56" s="30" t="s">
        <v>216</v>
      </c>
      <c r="D56" s="30" t="s">
        <v>385</v>
      </c>
      <c r="E56" s="30" t="s">
        <v>230</v>
      </c>
      <c r="F56" s="41">
        <f>F57</f>
        <v>1453.4162900000001</v>
      </c>
    </row>
    <row r="57" spans="1:6" s="32" customFormat="1" x14ac:dyDescent="0.2">
      <c r="A57" s="84" t="s">
        <v>106</v>
      </c>
      <c r="B57" s="30" t="s">
        <v>214</v>
      </c>
      <c r="C57" s="30" t="s">
        <v>216</v>
      </c>
      <c r="D57" s="30" t="s">
        <v>385</v>
      </c>
      <c r="E57" s="30" t="s">
        <v>231</v>
      </c>
      <c r="F57" s="41">
        <f>852+90-8.58371+500+20</f>
        <v>1453.4162900000001</v>
      </c>
    </row>
    <row r="58" spans="1:6" s="32" customFormat="1" x14ac:dyDescent="0.2">
      <c r="A58" s="80" t="s">
        <v>760</v>
      </c>
      <c r="B58" s="24" t="s">
        <v>214</v>
      </c>
      <c r="C58" s="24" t="s">
        <v>731</v>
      </c>
      <c r="D58" s="24"/>
      <c r="E58" s="24"/>
      <c r="F58" s="42">
        <f>F59</f>
        <v>183</v>
      </c>
    </row>
    <row r="59" spans="1:6" s="32" customFormat="1" x14ac:dyDescent="0.2">
      <c r="A59" s="81" t="s">
        <v>212</v>
      </c>
      <c r="B59" s="25" t="s">
        <v>214</v>
      </c>
      <c r="C59" s="25" t="s">
        <v>731</v>
      </c>
      <c r="D59" s="25" t="s">
        <v>382</v>
      </c>
      <c r="E59" s="30"/>
      <c r="F59" s="45">
        <f>F60</f>
        <v>183</v>
      </c>
    </row>
    <row r="60" spans="1:6" s="32" customFormat="1" x14ac:dyDescent="0.2">
      <c r="A60" s="82" t="s">
        <v>476</v>
      </c>
      <c r="B60" s="24" t="s">
        <v>214</v>
      </c>
      <c r="C60" s="24" t="s">
        <v>731</v>
      </c>
      <c r="D60" s="24" t="s">
        <v>383</v>
      </c>
      <c r="E60" s="30"/>
      <c r="F60" s="42">
        <f>F61</f>
        <v>183</v>
      </c>
    </row>
    <row r="61" spans="1:6" s="32" customFormat="1" ht="24" x14ac:dyDescent="0.2">
      <c r="A61" s="80" t="s">
        <v>764</v>
      </c>
      <c r="B61" s="24" t="s">
        <v>214</v>
      </c>
      <c r="C61" s="24" t="s">
        <v>731</v>
      </c>
      <c r="D61" s="24" t="s">
        <v>559</v>
      </c>
      <c r="E61" s="24"/>
      <c r="F61" s="42">
        <f>F62</f>
        <v>183</v>
      </c>
    </row>
    <row r="62" spans="1:6" s="32" customFormat="1" x14ac:dyDescent="0.2">
      <c r="A62" s="84" t="s">
        <v>473</v>
      </c>
      <c r="B62" s="30" t="s">
        <v>214</v>
      </c>
      <c r="C62" s="30" t="s">
        <v>731</v>
      </c>
      <c r="D62" s="30" t="s">
        <v>559</v>
      </c>
      <c r="E62" s="30" t="s">
        <v>226</v>
      </c>
      <c r="F62" s="41">
        <f>F63</f>
        <v>183</v>
      </c>
    </row>
    <row r="63" spans="1:6" s="32" customFormat="1" x14ac:dyDescent="0.2">
      <c r="A63" s="84" t="s">
        <v>227</v>
      </c>
      <c r="B63" s="30" t="s">
        <v>214</v>
      </c>
      <c r="C63" s="30" t="s">
        <v>731</v>
      </c>
      <c r="D63" s="30" t="s">
        <v>559</v>
      </c>
      <c r="E63" s="30" t="s">
        <v>228</v>
      </c>
      <c r="F63" s="41">
        <v>183</v>
      </c>
    </row>
    <row r="64" spans="1:6" s="32" customFormat="1" ht="24" x14ac:dyDescent="0.2">
      <c r="A64" s="80" t="s">
        <v>506</v>
      </c>
      <c r="B64" s="24" t="s">
        <v>214</v>
      </c>
      <c r="C64" s="24" t="s">
        <v>474</v>
      </c>
      <c r="D64" s="24"/>
      <c r="E64" s="24"/>
      <c r="F64" s="42">
        <f>F65+F75</f>
        <v>30106</v>
      </c>
    </row>
    <row r="65" spans="1:6" s="32" customFormat="1" ht="24" x14ac:dyDescent="0.2">
      <c r="A65" s="81" t="s">
        <v>686</v>
      </c>
      <c r="B65" s="25" t="s">
        <v>214</v>
      </c>
      <c r="C65" s="25" t="s">
        <v>474</v>
      </c>
      <c r="D65" s="25" t="s">
        <v>400</v>
      </c>
      <c r="E65" s="33"/>
      <c r="F65" s="45">
        <f>F66</f>
        <v>14717</v>
      </c>
    </row>
    <row r="66" spans="1:6" s="32" customFormat="1" x14ac:dyDescent="0.2">
      <c r="A66" s="82" t="s">
        <v>476</v>
      </c>
      <c r="B66" s="24" t="s">
        <v>214</v>
      </c>
      <c r="C66" s="24" t="s">
        <v>474</v>
      </c>
      <c r="D66" s="24" t="s">
        <v>401</v>
      </c>
      <c r="E66" s="24"/>
      <c r="F66" s="42">
        <f>F67+F70</f>
        <v>14717</v>
      </c>
    </row>
    <row r="67" spans="1:6" s="32" customFormat="1" ht="24" x14ac:dyDescent="0.2">
      <c r="A67" s="82" t="s">
        <v>151</v>
      </c>
      <c r="B67" s="24" t="s">
        <v>214</v>
      </c>
      <c r="C67" s="24" t="s">
        <v>474</v>
      </c>
      <c r="D67" s="24" t="s">
        <v>402</v>
      </c>
      <c r="E67" s="24"/>
      <c r="F67" s="42">
        <f>F68</f>
        <v>11923</v>
      </c>
    </row>
    <row r="68" spans="1:6" s="32" customFormat="1" ht="24" x14ac:dyDescent="0.2">
      <c r="A68" s="84" t="s">
        <v>217</v>
      </c>
      <c r="B68" s="30" t="s">
        <v>214</v>
      </c>
      <c r="C68" s="30" t="s">
        <v>474</v>
      </c>
      <c r="D68" s="30" t="s">
        <v>402</v>
      </c>
      <c r="E68" s="30" t="s">
        <v>218</v>
      </c>
      <c r="F68" s="41">
        <f>F69</f>
        <v>11923</v>
      </c>
    </row>
    <row r="69" spans="1:6" s="32" customFormat="1" x14ac:dyDescent="0.2">
      <c r="A69" s="84" t="s">
        <v>219</v>
      </c>
      <c r="B69" s="30" t="s">
        <v>214</v>
      </c>
      <c r="C69" s="30" t="s">
        <v>474</v>
      </c>
      <c r="D69" s="30" t="s">
        <v>402</v>
      </c>
      <c r="E69" s="30" t="s">
        <v>224</v>
      </c>
      <c r="F69" s="41">
        <f>9403+20+2500</f>
        <v>11923</v>
      </c>
    </row>
    <row r="70" spans="1:6" s="32" customFormat="1" ht="24" x14ac:dyDescent="0.2">
      <c r="A70" s="80" t="s">
        <v>152</v>
      </c>
      <c r="B70" s="24" t="s">
        <v>214</v>
      </c>
      <c r="C70" s="24" t="s">
        <v>474</v>
      </c>
      <c r="D70" s="24" t="s">
        <v>403</v>
      </c>
      <c r="E70" s="24"/>
      <c r="F70" s="42">
        <f>F71+F73</f>
        <v>2794</v>
      </c>
    </row>
    <row r="71" spans="1:6" s="32" customFormat="1" x14ac:dyDescent="0.2">
      <c r="A71" s="84" t="s">
        <v>473</v>
      </c>
      <c r="B71" s="30" t="s">
        <v>214</v>
      </c>
      <c r="C71" s="30" t="s">
        <v>474</v>
      </c>
      <c r="D71" s="30" t="s">
        <v>403</v>
      </c>
      <c r="E71" s="30" t="s">
        <v>226</v>
      </c>
      <c r="F71" s="41">
        <f>F72</f>
        <v>2760</v>
      </c>
    </row>
    <row r="72" spans="1:6" s="32" customFormat="1" x14ac:dyDescent="0.2">
      <c r="A72" s="84" t="s">
        <v>227</v>
      </c>
      <c r="B72" s="30" t="s">
        <v>214</v>
      </c>
      <c r="C72" s="30" t="s">
        <v>474</v>
      </c>
      <c r="D72" s="30" t="s">
        <v>403</v>
      </c>
      <c r="E72" s="30" t="s">
        <v>228</v>
      </c>
      <c r="F72" s="41">
        <f>2785-25</f>
        <v>2760</v>
      </c>
    </row>
    <row r="73" spans="1:6" s="32" customFormat="1" x14ac:dyDescent="0.2">
      <c r="A73" s="84" t="s">
        <v>229</v>
      </c>
      <c r="B73" s="30" t="s">
        <v>214</v>
      </c>
      <c r="C73" s="30" t="s">
        <v>474</v>
      </c>
      <c r="D73" s="30" t="s">
        <v>403</v>
      </c>
      <c r="E73" s="30" t="s">
        <v>230</v>
      </c>
      <c r="F73" s="41">
        <f>F74</f>
        <v>34</v>
      </c>
    </row>
    <row r="74" spans="1:6" s="32" customFormat="1" x14ac:dyDescent="0.2">
      <c r="A74" s="84" t="s">
        <v>106</v>
      </c>
      <c r="B74" s="30" t="s">
        <v>214</v>
      </c>
      <c r="C74" s="30" t="s">
        <v>474</v>
      </c>
      <c r="D74" s="30" t="s">
        <v>403</v>
      </c>
      <c r="E74" s="30" t="s">
        <v>231</v>
      </c>
      <c r="F74" s="41">
        <f>14-5+25</f>
        <v>34</v>
      </c>
    </row>
    <row r="75" spans="1:6" s="32" customFormat="1" x14ac:dyDescent="0.2">
      <c r="A75" s="81" t="s">
        <v>517</v>
      </c>
      <c r="B75" s="25" t="s">
        <v>214</v>
      </c>
      <c r="C75" s="25" t="s">
        <v>474</v>
      </c>
      <c r="D75" s="25" t="s">
        <v>382</v>
      </c>
      <c r="E75" s="25"/>
      <c r="F75" s="45">
        <f>F76</f>
        <v>15389</v>
      </c>
    </row>
    <row r="76" spans="1:6" s="32" customFormat="1" x14ac:dyDescent="0.2">
      <c r="A76" s="82" t="s">
        <v>476</v>
      </c>
      <c r="B76" s="24" t="s">
        <v>214</v>
      </c>
      <c r="C76" s="24" t="s">
        <v>474</v>
      </c>
      <c r="D76" s="24" t="s">
        <v>383</v>
      </c>
      <c r="E76" s="24"/>
      <c r="F76" s="42">
        <f>F77+F80</f>
        <v>15389</v>
      </c>
    </row>
    <row r="77" spans="1:6" s="182" customFormat="1" ht="12" x14ac:dyDescent="0.2">
      <c r="A77" s="82" t="s">
        <v>515</v>
      </c>
      <c r="B77" s="24" t="s">
        <v>214</v>
      </c>
      <c r="C77" s="24" t="s">
        <v>474</v>
      </c>
      <c r="D77" s="24" t="s">
        <v>384</v>
      </c>
      <c r="E77" s="24"/>
      <c r="F77" s="42">
        <f>F78</f>
        <v>12615</v>
      </c>
    </row>
    <row r="78" spans="1:6" s="32" customFormat="1" ht="24" x14ac:dyDescent="0.2">
      <c r="A78" s="84" t="s">
        <v>217</v>
      </c>
      <c r="B78" s="30" t="s">
        <v>214</v>
      </c>
      <c r="C78" s="30" t="s">
        <v>474</v>
      </c>
      <c r="D78" s="30" t="s">
        <v>384</v>
      </c>
      <c r="E78" s="30" t="s">
        <v>218</v>
      </c>
      <c r="F78" s="41">
        <f>F79</f>
        <v>12615</v>
      </c>
    </row>
    <row r="79" spans="1:6" s="32" customFormat="1" x14ac:dyDescent="0.2">
      <c r="A79" s="84" t="s">
        <v>219</v>
      </c>
      <c r="B79" s="30" t="s">
        <v>214</v>
      </c>
      <c r="C79" s="30" t="s">
        <v>474</v>
      </c>
      <c r="D79" s="30" t="s">
        <v>384</v>
      </c>
      <c r="E79" s="30" t="s">
        <v>224</v>
      </c>
      <c r="F79" s="41">
        <f>9695+2920</f>
        <v>12615</v>
      </c>
    </row>
    <row r="80" spans="1:6" s="32" customFormat="1" x14ac:dyDescent="0.2">
      <c r="A80" s="80" t="s">
        <v>516</v>
      </c>
      <c r="B80" s="24" t="s">
        <v>214</v>
      </c>
      <c r="C80" s="24" t="s">
        <v>474</v>
      </c>
      <c r="D80" s="24" t="s">
        <v>385</v>
      </c>
      <c r="E80" s="24"/>
      <c r="F80" s="42">
        <f>F81+F83</f>
        <v>2774</v>
      </c>
    </row>
    <row r="81" spans="1:6" s="32" customFormat="1" x14ac:dyDescent="0.2">
      <c r="A81" s="84" t="s">
        <v>473</v>
      </c>
      <c r="B81" s="30" t="s">
        <v>214</v>
      </c>
      <c r="C81" s="30" t="s">
        <v>474</v>
      </c>
      <c r="D81" s="30" t="s">
        <v>385</v>
      </c>
      <c r="E81" s="30" t="s">
        <v>226</v>
      </c>
      <c r="F81" s="41">
        <f>F82</f>
        <v>2769</v>
      </c>
    </row>
    <row r="82" spans="1:6" s="32" customFormat="1" x14ac:dyDescent="0.2">
      <c r="A82" s="84" t="s">
        <v>227</v>
      </c>
      <c r="B82" s="30" t="s">
        <v>214</v>
      </c>
      <c r="C82" s="30" t="s">
        <v>474</v>
      </c>
      <c r="D82" s="30" t="s">
        <v>385</v>
      </c>
      <c r="E82" s="30" t="s">
        <v>228</v>
      </c>
      <c r="F82" s="41">
        <v>2769</v>
      </c>
    </row>
    <row r="83" spans="1:6" s="32" customFormat="1" x14ac:dyDescent="0.2">
      <c r="A83" s="84" t="s">
        <v>229</v>
      </c>
      <c r="B83" s="30" t="s">
        <v>214</v>
      </c>
      <c r="C83" s="30" t="s">
        <v>474</v>
      </c>
      <c r="D83" s="30" t="s">
        <v>385</v>
      </c>
      <c r="E83" s="30" t="s">
        <v>230</v>
      </c>
      <c r="F83" s="41">
        <f>F84</f>
        <v>5</v>
      </c>
    </row>
    <row r="84" spans="1:6" s="32" customFormat="1" x14ac:dyDescent="0.2">
      <c r="A84" s="84" t="s">
        <v>106</v>
      </c>
      <c r="B84" s="30" t="s">
        <v>214</v>
      </c>
      <c r="C84" s="30" t="s">
        <v>474</v>
      </c>
      <c r="D84" s="30" t="s">
        <v>385</v>
      </c>
      <c r="E84" s="30" t="s">
        <v>231</v>
      </c>
      <c r="F84" s="41">
        <v>5</v>
      </c>
    </row>
    <row r="85" spans="1:6" s="32" customFormat="1" x14ac:dyDescent="0.2">
      <c r="A85" s="61" t="s">
        <v>271</v>
      </c>
      <c r="B85" s="24" t="s">
        <v>214</v>
      </c>
      <c r="C85" s="24" t="s">
        <v>824</v>
      </c>
      <c r="D85" s="24"/>
      <c r="E85" s="24"/>
      <c r="F85" s="42">
        <f>F86</f>
        <v>8877.4</v>
      </c>
    </row>
    <row r="86" spans="1:6" s="32" customFormat="1" x14ac:dyDescent="0.2">
      <c r="A86" s="62" t="s">
        <v>275</v>
      </c>
      <c r="B86" s="25" t="s">
        <v>214</v>
      </c>
      <c r="C86" s="25" t="s">
        <v>824</v>
      </c>
      <c r="D86" s="25" t="s">
        <v>382</v>
      </c>
      <c r="E86" s="25"/>
      <c r="F86" s="45">
        <f>F87</f>
        <v>8877.4</v>
      </c>
    </row>
    <row r="87" spans="1:6" s="32" customFormat="1" x14ac:dyDescent="0.2">
      <c r="A87" s="61" t="s">
        <v>476</v>
      </c>
      <c r="B87" s="24" t="s">
        <v>214</v>
      </c>
      <c r="C87" s="24" t="s">
        <v>824</v>
      </c>
      <c r="D87" s="24" t="s">
        <v>383</v>
      </c>
      <c r="E87" s="24"/>
      <c r="F87" s="42">
        <f>F88</f>
        <v>8877.4</v>
      </c>
    </row>
    <row r="88" spans="1:6" s="32" customFormat="1" x14ac:dyDescent="0.2">
      <c r="A88" s="64" t="s">
        <v>229</v>
      </c>
      <c r="B88" s="30" t="s">
        <v>214</v>
      </c>
      <c r="C88" s="30" t="s">
        <v>824</v>
      </c>
      <c r="D88" s="30" t="s">
        <v>546</v>
      </c>
      <c r="E88" s="30" t="s">
        <v>230</v>
      </c>
      <c r="F88" s="41">
        <f>F89</f>
        <v>8877.4</v>
      </c>
    </row>
    <row r="89" spans="1:6" s="32" customFormat="1" x14ac:dyDescent="0.2">
      <c r="A89" s="64" t="s">
        <v>272</v>
      </c>
      <c r="B89" s="30" t="s">
        <v>214</v>
      </c>
      <c r="C89" s="30" t="s">
        <v>824</v>
      </c>
      <c r="D89" s="30" t="s">
        <v>546</v>
      </c>
      <c r="E89" s="30" t="s">
        <v>273</v>
      </c>
      <c r="F89" s="41">
        <f>550+8327.4</f>
        <v>8877.4</v>
      </c>
    </row>
    <row r="90" spans="1:6" s="32" customFormat="1" x14ac:dyDescent="0.2">
      <c r="A90" s="80" t="s">
        <v>508</v>
      </c>
      <c r="B90" s="24" t="s">
        <v>214</v>
      </c>
      <c r="C90" s="24" t="s">
        <v>232</v>
      </c>
      <c r="D90" s="24"/>
      <c r="E90" s="24"/>
      <c r="F90" s="42">
        <f>F91</f>
        <v>1301</v>
      </c>
    </row>
    <row r="91" spans="1:6" s="32" customFormat="1" x14ac:dyDescent="0.2">
      <c r="A91" s="81" t="s">
        <v>212</v>
      </c>
      <c r="B91" s="25" t="s">
        <v>214</v>
      </c>
      <c r="C91" s="25" t="s">
        <v>232</v>
      </c>
      <c r="D91" s="25" t="s">
        <v>382</v>
      </c>
      <c r="E91" s="25"/>
      <c r="F91" s="45">
        <f>F92</f>
        <v>1301</v>
      </c>
    </row>
    <row r="92" spans="1:6" s="32" customFormat="1" x14ac:dyDescent="0.2">
      <c r="A92" s="82" t="s">
        <v>476</v>
      </c>
      <c r="B92" s="24" t="s">
        <v>214</v>
      </c>
      <c r="C92" s="24" t="s">
        <v>232</v>
      </c>
      <c r="D92" s="24" t="s">
        <v>383</v>
      </c>
      <c r="E92" s="24"/>
      <c r="F92" s="42">
        <f>F93</f>
        <v>1301</v>
      </c>
    </row>
    <row r="93" spans="1:6" s="32" customFormat="1" x14ac:dyDescent="0.2">
      <c r="A93" s="84" t="s">
        <v>233</v>
      </c>
      <c r="B93" s="30" t="s">
        <v>214</v>
      </c>
      <c r="C93" s="30" t="s">
        <v>232</v>
      </c>
      <c r="D93" s="30" t="s">
        <v>512</v>
      </c>
      <c r="E93" s="30"/>
      <c r="F93" s="41">
        <f>F94</f>
        <v>1301</v>
      </c>
    </row>
    <row r="94" spans="1:6" s="32" customFormat="1" x14ac:dyDescent="0.2">
      <c r="A94" s="84" t="s">
        <v>229</v>
      </c>
      <c r="B94" s="30" t="s">
        <v>214</v>
      </c>
      <c r="C94" s="30" t="s">
        <v>232</v>
      </c>
      <c r="D94" s="30" t="s">
        <v>512</v>
      </c>
      <c r="E94" s="30" t="s">
        <v>230</v>
      </c>
      <c r="F94" s="41">
        <f>F95</f>
        <v>1301</v>
      </c>
    </row>
    <row r="95" spans="1:6" s="32" customFormat="1" x14ac:dyDescent="0.2">
      <c r="A95" s="84" t="s">
        <v>234</v>
      </c>
      <c r="B95" s="30" t="s">
        <v>214</v>
      </c>
      <c r="C95" s="30" t="s">
        <v>232</v>
      </c>
      <c r="D95" s="30" t="s">
        <v>512</v>
      </c>
      <c r="E95" s="30" t="s">
        <v>736</v>
      </c>
      <c r="F95" s="41">
        <f>3000-150-50-80-50-770-414-185</f>
        <v>1301</v>
      </c>
    </row>
    <row r="96" spans="1:6" s="32" customFormat="1" x14ac:dyDescent="0.2">
      <c r="A96" s="80" t="s">
        <v>509</v>
      </c>
      <c r="B96" s="24" t="s">
        <v>214</v>
      </c>
      <c r="C96" s="24" t="s">
        <v>235</v>
      </c>
      <c r="D96" s="24"/>
      <c r="E96" s="24"/>
      <c r="F96" s="42">
        <f>F97+F144+F148+F153</f>
        <v>105895.73067</v>
      </c>
    </row>
    <row r="97" spans="1:6" s="32" customFormat="1" ht="27" x14ac:dyDescent="0.2">
      <c r="A97" s="86" t="s">
        <v>551</v>
      </c>
      <c r="B97" s="53" t="s">
        <v>214</v>
      </c>
      <c r="C97" s="53" t="s">
        <v>235</v>
      </c>
      <c r="D97" s="59" t="s">
        <v>386</v>
      </c>
      <c r="E97" s="58"/>
      <c r="F97" s="57">
        <f>F98+F102+F127+F134</f>
        <v>18315</v>
      </c>
    </row>
    <row r="98" spans="1:6" s="32" customFormat="1" ht="27" x14ac:dyDescent="0.2">
      <c r="A98" s="98" t="s">
        <v>337</v>
      </c>
      <c r="B98" s="53" t="s">
        <v>214</v>
      </c>
      <c r="C98" s="53" t="s">
        <v>235</v>
      </c>
      <c r="D98" s="93" t="s">
        <v>338</v>
      </c>
      <c r="E98" s="58"/>
      <c r="F98" s="57">
        <f>F99</f>
        <v>3500</v>
      </c>
    </row>
    <row r="99" spans="1:6" s="32" customFormat="1" ht="24" x14ac:dyDescent="0.2">
      <c r="A99" s="75" t="s">
        <v>339</v>
      </c>
      <c r="B99" s="24" t="s">
        <v>214</v>
      </c>
      <c r="C99" s="24" t="s">
        <v>235</v>
      </c>
      <c r="D99" s="43" t="s">
        <v>279</v>
      </c>
      <c r="E99" s="37"/>
      <c r="F99" s="117">
        <f>F100</f>
        <v>3500</v>
      </c>
    </row>
    <row r="100" spans="1:6" s="32" customFormat="1" x14ac:dyDescent="0.2">
      <c r="A100" s="84" t="s">
        <v>473</v>
      </c>
      <c r="B100" s="30" t="s">
        <v>214</v>
      </c>
      <c r="C100" s="30" t="s">
        <v>235</v>
      </c>
      <c r="D100" s="40" t="s">
        <v>279</v>
      </c>
      <c r="E100" s="31">
        <v>200</v>
      </c>
      <c r="F100" s="118">
        <f>F101</f>
        <v>3500</v>
      </c>
    </row>
    <row r="101" spans="1:6" s="32" customFormat="1" x14ac:dyDescent="0.2">
      <c r="A101" s="84" t="s">
        <v>227</v>
      </c>
      <c r="B101" s="30" t="s">
        <v>214</v>
      </c>
      <c r="C101" s="30" t="s">
        <v>235</v>
      </c>
      <c r="D101" s="40" t="s">
        <v>279</v>
      </c>
      <c r="E101" s="31">
        <v>240</v>
      </c>
      <c r="F101" s="118">
        <f>2000+1500</f>
        <v>3500</v>
      </c>
    </row>
    <row r="102" spans="1:6" s="32" customFormat="1" ht="27" x14ac:dyDescent="0.2">
      <c r="A102" s="98" t="s">
        <v>181</v>
      </c>
      <c r="B102" s="53" t="s">
        <v>214</v>
      </c>
      <c r="C102" s="53" t="s">
        <v>235</v>
      </c>
      <c r="D102" s="93" t="s">
        <v>420</v>
      </c>
      <c r="E102" s="58"/>
      <c r="F102" s="57">
        <f>F103+F106+F109+F112+F115+F118+F121+F124</f>
        <v>4566</v>
      </c>
    </row>
    <row r="103" spans="1:6" s="32" customFormat="1" x14ac:dyDescent="0.2">
      <c r="A103" s="75" t="s">
        <v>154</v>
      </c>
      <c r="B103" s="24" t="s">
        <v>214</v>
      </c>
      <c r="C103" s="24" t="s">
        <v>235</v>
      </c>
      <c r="D103" s="43" t="s">
        <v>182</v>
      </c>
      <c r="E103" s="37"/>
      <c r="F103" s="42">
        <f>F104</f>
        <v>146</v>
      </c>
    </row>
    <row r="104" spans="1:6" s="32" customFormat="1" x14ac:dyDescent="0.2">
      <c r="A104" s="84" t="s">
        <v>473</v>
      </c>
      <c r="B104" s="30" t="s">
        <v>214</v>
      </c>
      <c r="C104" s="30" t="s">
        <v>235</v>
      </c>
      <c r="D104" s="40" t="s">
        <v>182</v>
      </c>
      <c r="E104" s="31">
        <v>200</v>
      </c>
      <c r="F104" s="41">
        <f>F105</f>
        <v>146</v>
      </c>
    </row>
    <row r="105" spans="1:6" s="32" customFormat="1" x14ac:dyDescent="0.2">
      <c r="A105" s="84" t="s">
        <v>227</v>
      </c>
      <c r="B105" s="30" t="s">
        <v>214</v>
      </c>
      <c r="C105" s="30" t="s">
        <v>235</v>
      </c>
      <c r="D105" s="40" t="s">
        <v>182</v>
      </c>
      <c r="E105" s="31">
        <v>240</v>
      </c>
      <c r="F105" s="41">
        <f>1928-1782</f>
        <v>146</v>
      </c>
    </row>
    <row r="106" spans="1:6" s="32" customFormat="1" x14ac:dyDescent="0.2">
      <c r="A106" s="75" t="s">
        <v>155</v>
      </c>
      <c r="B106" s="24" t="s">
        <v>214</v>
      </c>
      <c r="C106" s="24" t="s">
        <v>235</v>
      </c>
      <c r="D106" s="43" t="s">
        <v>183</v>
      </c>
      <c r="E106" s="31"/>
      <c r="F106" s="42">
        <f>F107</f>
        <v>420</v>
      </c>
    </row>
    <row r="107" spans="1:6" s="32" customFormat="1" x14ac:dyDescent="0.2">
      <c r="A107" s="84" t="s">
        <v>473</v>
      </c>
      <c r="B107" s="30" t="s">
        <v>214</v>
      </c>
      <c r="C107" s="30" t="s">
        <v>235</v>
      </c>
      <c r="D107" s="40" t="s">
        <v>183</v>
      </c>
      <c r="E107" s="31">
        <v>200</v>
      </c>
      <c r="F107" s="41">
        <f>F108</f>
        <v>420</v>
      </c>
    </row>
    <row r="108" spans="1:6" s="32" customFormat="1" x14ac:dyDescent="0.2">
      <c r="A108" s="84" t="s">
        <v>227</v>
      </c>
      <c r="B108" s="30" t="s">
        <v>214</v>
      </c>
      <c r="C108" s="30" t="s">
        <v>235</v>
      </c>
      <c r="D108" s="40" t="s">
        <v>183</v>
      </c>
      <c r="E108" s="31">
        <v>240</v>
      </c>
      <c r="F108" s="41">
        <f>340+80</f>
        <v>420</v>
      </c>
    </row>
    <row r="109" spans="1:6" s="32" customFormat="1" ht="24" x14ac:dyDescent="0.2">
      <c r="A109" s="75" t="s">
        <v>156</v>
      </c>
      <c r="B109" s="24" t="s">
        <v>214</v>
      </c>
      <c r="C109" s="24" t="s">
        <v>235</v>
      </c>
      <c r="D109" s="43" t="s">
        <v>184</v>
      </c>
      <c r="E109" s="31"/>
      <c r="F109" s="42">
        <f>F110</f>
        <v>500</v>
      </c>
    </row>
    <row r="110" spans="1:6" s="32" customFormat="1" x14ac:dyDescent="0.2">
      <c r="A110" s="84" t="s">
        <v>473</v>
      </c>
      <c r="B110" s="30" t="s">
        <v>214</v>
      </c>
      <c r="C110" s="30" t="s">
        <v>235</v>
      </c>
      <c r="D110" s="40" t="s">
        <v>184</v>
      </c>
      <c r="E110" s="31">
        <v>200</v>
      </c>
      <c r="F110" s="41">
        <f>F111</f>
        <v>500</v>
      </c>
    </row>
    <row r="111" spans="1:6" s="32" customFormat="1" x14ac:dyDescent="0.2">
      <c r="A111" s="84" t="s">
        <v>227</v>
      </c>
      <c r="B111" s="30" t="s">
        <v>214</v>
      </c>
      <c r="C111" s="30" t="s">
        <v>235</v>
      </c>
      <c r="D111" s="40" t="s">
        <v>184</v>
      </c>
      <c r="E111" s="31">
        <v>240</v>
      </c>
      <c r="F111" s="41">
        <f>385+115</f>
        <v>500</v>
      </c>
    </row>
    <row r="112" spans="1:6" s="32" customFormat="1" x14ac:dyDescent="0.2">
      <c r="A112" s="75" t="s">
        <v>157</v>
      </c>
      <c r="B112" s="24" t="s">
        <v>214</v>
      </c>
      <c r="C112" s="24" t="s">
        <v>235</v>
      </c>
      <c r="D112" s="43" t="s">
        <v>185</v>
      </c>
      <c r="E112" s="31"/>
      <c r="F112" s="42">
        <f>F113</f>
        <v>320</v>
      </c>
    </row>
    <row r="113" spans="1:6" s="32" customFormat="1" x14ac:dyDescent="0.2">
      <c r="A113" s="84" t="s">
        <v>473</v>
      </c>
      <c r="B113" s="30" t="s">
        <v>214</v>
      </c>
      <c r="C113" s="30" t="s">
        <v>235</v>
      </c>
      <c r="D113" s="40" t="s">
        <v>185</v>
      </c>
      <c r="E113" s="31">
        <v>200</v>
      </c>
      <c r="F113" s="41">
        <f>F114</f>
        <v>320</v>
      </c>
    </row>
    <row r="114" spans="1:6" s="32" customFormat="1" x14ac:dyDescent="0.2">
      <c r="A114" s="84" t="s">
        <v>227</v>
      </c>
      <c r="B114" s="30" t="s">
        <v>214</v>
      </c>
      <c r="C114" s="30" t="s">
        <v>235</v>
      </c>
      <c r="D114" s="40" t="s">
        <v>185</v>
      </c>
      <c r="E114" s="31">
        <v>240</v>
      </c>
      <c r="F114" s="41">
        <v>320</v>
      </c>
    </row>
    <row r="115" spans="1:6" s="32" customFormat="1" x14ac:dyDescent="0.2">
      <c r="A115" s="75" t="s">
        <v>158</v>
      </c>
      <c r="B115" s="24" t="s">
        <v>214</v>
      </c>
      <c r="C115" s="24" t="s">
        <v>235</v>
      </c>
      <c r="D115" s="43" t="s">
        <v>186</v>
      </c>
      <c r="E115" s="31"/>
      <c r="F115" s="42">
        <f>F116</f>
        <v>823</v>
      </c>
    </row>
    <row r="116" spans="1:6" s="32" customFormat="1" x14ac:dyDescent="0.2">
      <c r="A116" s="84" t="s">
        <v>473</v>
      </c>
      <c r="B116" s="30" t="s">
        <v>214</v>
      </c>
      <c r="C116" s="30" t="s">
        <v>235</v>
      </c>
      <c r="D116" s="40" t="s">
        <v>186</v>
      </c>
      <c r="E116" s="31">
        <v>200</v>
      </c>
      <c r="F116" s="41">
        <f>F117</f>
        <v>823</v>
      </c>
    </row>
    <row r="117" spans="1:6" s="32" customFormat="1" x14ac:dyDescent="0.2">
      <c r="A117" s="84" t="s">
        <v>227</v>
      </c>
      <c r="B117" s="30" t="s">
        <v>214</v>
      </c>
      <c r="C117" s="30" t="s">
        <v>235</v>
      </c>
      <c r="D117" s="40" t="s">
        <v>186</v>
      </c>
      <c r="E117" s="31">
        <v>240</v>
      </c>
      <c r="F117" s="41">
        <v>823</v>
      </c>
    </row>
    <row r="118" spans="1:6" s="32" customFormat="1" x14ac:dyDescent="0.2">
      <c r="A118" s="75" t="s">
        <v>424</v>
      </c>
      <c r="B118" s="24" t="s">
        <v>214</v>
      </c>
      <c r="C118" s="24" t="s">
        <v>235</v>
      </c>
      <c r="D118" s="43" t="s">
        <v>187</v>
      </c>
      <c r="E118" s="31"/>
      <c r="F118" s="42">
        <f>F119</f>
        <v>1017</v>
      </c>
    </row>
    <row r="119" spans="1:6" s="32" customFormat="1" x14ac:dyDescent="0.2">
      <c r="A119" s="84" t="s">
        <v>473</v>
      </c>
      <c r="B119" s="30" t="s">
        <v>214</v>
      </c>
      <c r="C119" s="30" t="s">
        <v>235</v>
      </c>
      <c r="D119" s="40" t="s">
        <v>187</v>
      </c>
      <c r="E119" s="31">
        <v>200</v>
      </c>
      <c r="F119" s="41">
        <f>F120</f>
        <v>1017</v>
      </c>
    </row>
    <row r="120" spans="1:6" s="32" customFormat="1" x14ac:dyDescent="0.2">
      <c r="A120" s="84" t="s">
        <v>227</v>
      </c>
      <c r="B120" s="30" t="s">
        <v>214</v>
      </c>
      <c r="C120" s="30" t="s">
        <v>235</v>
      </c>
      <c r="D120" s="40" t="s">
        <v>187</v>
      </c>
      <c r="E120" s="31">
        <v>240</v>
      </c>
      <c r="F120" s="41">
        <v>1017</v>
      </c>
    </row>
    <row r="121" spans="1:6" s="32" customFormat="1" x14ac:dyDescent="0.2">
      <c r="A121" s="80" t="s">
        <v>159</v>
      </c>
      <c r="B121" s="24" t="s">
        <v>214</v>
      </c>
      <c r="C121" s="24" t="s">
        <v>235</v>
      </c>
      <c r="D121" s="43" t="s">
        <v>188</v>
      </c>
      <c r="E121" s="31"/>
      <c r="F121" s="42">
        <f>F122</f>
        <v>1210</v>
      </c>
    </row>
    <row r="122" spans="1:6" s="32" customFormat="1" x14ac:dyDescent="0.2">
      <c r="A122" s="84" t="s">
        <v>473</v>
      </c>
      <c r="B122" s="30" t="s">
        <v>214</v>
      </c>
      <c r="C122" s="30" t="s">
        <v>235</v>
      </c>
      <c r="D122" s="40" t="s">
        <v>188</v>
      </c>
      <c r="E122" s="31">
        <v>200</v>
      </c>
      <c r="F122" s="41">
        <f>F123</f>
        <v>1210</v>
      </c>
    </row>
    <row r="123" spans="1:6" s="32" customFormat="1" x14ac:dyDescent="0.2">
      <c r="A123" s="84" t="s">
        <v>227</v>
      </c>
      <c r="B123" s="30" t="s">
        <v>214</v>
      </c>
      <c r="C123" s="30" t="s">
        <v>235</v>
      </c>
      <c r="D123" s="40" t="s">
        <v>188</v>
      </c>
      <c r="E123" s="31">
        <v>240</v>
      </c>
      <c r="F123" s="41">
        <v>1210</v>
      </c>
    </row>
    <row r="124" spans="1:6" s="32" customFormat="1" x14ac:dyDescent="0.2">
      <c r="A124" s="80" t="s">
        <v>421</v>
      </c>
      <c r="B124" s="24" t="s">
        <v>214</v>
      </c>
      <c r="C124" s="24" t="s">
        <v>235</v>
      </c>
      <c r="D124" s="43" t="s">
        <v>189</v>
      </c>
      <c r="E124" s="37"/>
      <c r="F124" s="42">
        <f>F125</f>
        <v>130</v>
      </c>
    </row>
    <row r="125" spans="1:6" s="32" customFormat="1" x14ac:dyDescent="0.2">
      <c r="A125" s="84" t="s">
        <v>473</v>
      </c>
      <c r="B125" s="30" t="s">
        <v>214</v>
      </c>
      <c r="C125" s="30" t="s">
        <v>235</v>
      </c>
      <c r="D125" s="40" t="s">
        <v>189</v>
      </c>
      <c r="E125" s="31">
        <v>200</v>
      </c>
      <c r="F125" s="41">
        <f>F126</f>
        <v>130</v>
      </c>
    </row>
    <row r="126" spans="1:6" s="32" customFormat="1" x14ac:dyDescent="0.2">
      <c r="A126" s="84" t="s">
        <v>227</v>
      </c>
      <c r="B126" s="30" t="s">
        <v>214</v>
      </c>
      <c r="C126" s="30" t="s">
        <v>235</v>
      </c>
      <c r="D126" s="40" t="s">
        <v>189</v>
      </c>
      <c r="E126" s="31">
        <v>240</v>
      </c>
      <c r="F126" s="41">
        <v>130</v>
      </c>
    </row>
    <row r="127" spans="1:6" s="32" customFormat="1" ht="13.5" x14ac:dyDescent="0.2">
      <c r="A127" s="86" t="s">
        <v>160</v>
      </c>
      <c r="B127" s="53" t="s">
        <v>214</v>
      </c>
      <c r="C127" s="53" t="s">
        <v>235</v>
      </c>
      <c r="D127" s="93" t="s">
        <v>161</v>
      </c>
      <c r="E127" s="58"/>
      <c r="F127" s="57">
        <f>F128+F131</f>
        <v>1584</v>
      </c>
    </row>
    <row r="128" spans="1:6" s="32" customFormat="1" x14ac:dyDescent="0.2">
      <c r="A128" s="80" t="s">
        <v>422</v>
      </c>
      <c r="B128" s="24" t="s">
        <v>214</v>
      </c>
      <c r="C128" s="24" t="s">
        <v>235</v>
      </c>
      <c r="D128" s="24" t="s">
        <v>190</v>
      </c>
      <c r="E128" s="37"/>
      <c r="F128" s="42">
        <f>F129</f>
        <v>204</v>
      </c>
    </row>
    <row r="129" spans="1:6" s="32" customFormat="1" x14ac:dyDescent="0.2">
      <c r="A129" s="84" t="s">
        <v>473</v>
      </c>
      <c r="B129" s="30" t="s">
        <v>214</v>
      </c>
      <c r="C129" s="30" t="s">
        <v>235</v>
      </c>
      <c r="D129" s="40" t="s">
        <v>190</v>
      </c>
      <c r="E129" s="31">
        <v>200</v>
      </c>
      <c r="F129" s="41">
        <f>F130</f>
        <v>204</v>
      </c>
    </row>
    <row r="130" spans="1:6" s="32" customFormat="1" x14ac:dyDescent="0.2">
      <c r="A130" s="84" t="s">
        <v>227</v>
      </c>
      <c r="B130" s="30" t="s">
        <v>214</v>
      </c>
      <c r="C130" s="30" t="s">
        <v>235</v>
      </c>
      <c r="D130" s="40" t="s">
        <v>190</v>
      </c>
      <c r="E130" s="31">
        <v>240</v>
      </c>
      <c r="F130" s="41">
        <f>367-163</f>
        <v>204</v>
      </c>
    </row>
    <row r="131" spans="1:6" s="32" customFormat="1" x14ac:dyDescent="0.2">
      <c r="A131" s="75" t="s">
        <v>162</v>
      </c>
      <c r="B131" s="24" t="s">
        <v>214</v>
      </c>
      <c r="C131" s="24" t="s">
        <v>235</v>
      </c>
      <c r="D131" s="24" t="s">
        <v>191</v>
      </c>
      <c r="E131" s="37"/>
      <c r="F131" s="42">
        <f>F132</f>
        <v>1380</v>
      </c>
    </row>
    <row r="132" spans="1:6" s="32" customFormat="1" x14ac:dyDescent="0.2">
      <c r="A132" s="84" t="s">
        <v>473</v>
      </c>
      <c r="B132" s="30" t="s">
        <v>214</v>
      </c>
      <c r="C132" s="30" t="s">
        <v>235</v>
      </c>
      <c r="D132" s="40" t="s">
        <v>191</v>
      </c>
      <c r="E132" s="31">
        <v>200</v>
      </c>
      <c r="F132" s="41">
        <f>F133</f>
        <v>1380</v>
      </c>
    </row>
    <row r="133" spans="1:6" s="32" customFormat="1" x14ac:dyDescent="0.2">
      <c r="A133" s="84" t="s">
        <v>227</v>
      </c>
      <c r="B133" s="30" t="s">
        <v>214</v>
      </c>
      <c r="C133" s="30" t="s">
        <v>235</v>
      </c>
      <c r="D133" s="40" t="s">
        <v>191</v>
      </c>
      <c r="E133" s="31">
        <v>240</v>
      </c>
      <c r="F133" s="41">
        <f>480+900</f>
        <v>1380</v>
      </c>
    </row>
    <row r="134" spans="1:6" s="32" customFormat="1" ht="27" x14ac:dyDescent="0.2">
      <c r="A134" s="86" t="s">
        <v>781</v>
      </c>
      <c r="B134" s="53" t="s">
        <v>214</v>
      </c>
      <c r="C134" s="53" t="s">
        <v>235</v>
      </c>
      <c r="D134" s="93" t="s">
        <v>780</v>
      </c>
      <c r="E134" s="58"/>
      <c r="F134" s="57">
        <f>F135+F138+F141</f>
        <v>8665</v>
      </c>
    </row>
    <row r="135" spans="1:6" s="32" customFormat="1" ht="24" x14ac:dyDescent="0.2">
      <c r="A135" s="80" t="s">
        <v>782</v>
      </c>
      <c r="B135" s="24" t="s">
        <v>214</v>
      </c>
      <c r="C135" s="24" t="s">
        <v>235</v>
      </c>
      <c r="D135" s="43" t="s">
        <v>783</v>
      </c>
      <c r="E135" s="37"/>
      <c r="F135" s="42">
        <f>F136</f>
        <v>80</v>
      </c>
    </row>
    <row r="136" spans="1:6" s="32" customFormat="1" x14ac:dyDescent="0.2">
      <c r="A136" s="84" t="s">
        <v>473</v>
      </c>
      <c r="B136" s="30" t="s">
        <v>214</v>
      </c>
      <c r="C136" s="30" t="s">
        <v>235</v>
      </c>
      <c r="D136" s="40" t="s">
        <v>783</v>
      </c>
      <c r="E136" s="31">
        <v>200</v>
      </c>
      <c r="F136" s="41">
        <f>F137</f>
        <v>80</v>
      </c>
    </row>
    <row r="137" spans="1:6" s="32" customFormat="1" x14ac:dyDescent="0.2">
      <c r="A137" s="84" t="s">
        <v>227</v>
      </c>
      <c r="B137" s="30" t="s">
        <v>214</v>
      </c>
      <c r="C137" s="30" t="s">
        <v>235</v>
      </c>
      <c r="D137" s="40" t="s">
        <v>783</v>
      </c>
      <c r="E137" s="31">
        <v>240</v>
      </c>
      <c r="F137" s="41">
        <v>80</v>
      </c>
    </row>
    <row r="138" spans="1:6" s="32" customFormat="1" ht="24" x14ac:dyDescent="0.2">
      <c r="A138" s="80" t="s">
        <v>784</v>
      </c>
      <c r="B138" s="24" t="s">
        <v>214</v>
      </c>
      <c r="C138" s="24" t="s">
        <v>235</v>
      </c>
      <c r="D138" s="43" t="s">
        <v>785</v>
      </c>
      <c r="E138" s="37"/>
      <c r="F138" s="42">
        <f>F139</f>
        <v>4165</v>
      </c>
    </row>
    <row r="139" spans="1:6" s="32" customFormat="1" x14ac:dyDescent="0.2">
      <c r="A139" s="84" t="s">
        <v>473</v>
      </c>
      <c r="B139" s="30" t="s">
        <v>214</v>
      </c>
      <c r="C139" s="30" t="s">
        <v>235</v>
      </c>
      <c r="D139" s="40" t="s">
        <v>785</v>
      </c>
      <c r="E139" s="31">
        <v>200</v>
      </c>
      <c r="F139" s="41">
        <f>F140</f>
        <v>4165</v>
      </c>
    </row>
    <row r="140" spans="1:6" s="32" customFormat="1" x14ac:dyDescent="0.2">
      <c r="A140" s="84" t="s">
        <v>227</v>
      </c>
      <c r="B140" s="30" t="s">
        <v>214</v>
      </c>
      <c r="C140" s="30" t="s">
        <v>235</v>
      </c>
      <c r="D140" s="40" t="s">
        <v>785</v>
      </c>
      <c r="E140" s="31">
        <v>240</v>
      </c>
      <c r="F140" s="41">
        <v>4165</v>
      </c>
    </row>
    <row r="141" spans="1:6" s="32" customFormat="1" ht="24" x14ac:dyDescent="0.2">
      <c r="A141" s="80" t="s">
        <v>786</v>
      </c>
      <c r="B141" s="24" t="s">
        <v>214</v>
      </c>
      <c r="C141" s="24" t="s">
        <v>235</v>
      </c>
      <c r="D141" s="43" t="s">
        <v>787</v>
      </c>
      <c r="E141" s="37"/>
      <c r="F141" s="42">
        <f>F142</f>
        <v>4420</v>
      </c>
    </row>
    <row r="142" spans="1:6" s="32" customFormat="1" x14ac:dyDescent="0.2">
      <c r="A142" s="84" t="s">
        <v>473</v>
      </c>
      <c r="B142" s="30" t="s">
        <v>214</v>
      </c>
      <c r="C142" s="30" t="s">
        <v>235</v>
      </c>
      <c r="D142" s="40" t="s">
        <v>787</v>
      </c>
      <c r="E142" s="31">
        <v>200</v>
      </c>
      <c r="F142" s="41">
        <f>F143</f>
        <v>4420</v>
      </c>
    </row>
    <row r="143" spans="1:6" s="32" customFormat="1" x14ac:dyDescent="0.2">
      <c r="A143" s="84" t="s">
        <v>227</v>
      </c>
      <c r="B143" s="30" t="s">
        <v>214</v>
      </c>
      <c r="C143" s="30" t="s">
        <v>235</v>
      </c>
      <c r="D143" s="40" t="s">
        <v>787</v>
      </c>
      <c r="E143" s="31">
        <v>240</v>
      </c>
      <c r="F143" s="41">
        <f>20+4400</f>
        <v>4420</v>
      </c>
    </row>
    <row r="144" spans="1:6" s="32" customFormat="1" ht="27" x14ac:dyDescent="0.2">
      <c r="A144" s="86" t="s">
        <v>469</v>
      </c>
      <c r="B144" s="53" t="s">
        <v>214</v>
      </c>
      <c r="C144" s="53" t="s">
        <v>235</v>
      </c>
      <c r="D144" s="93" t="s">
        <v>406</v>
      </c>
      <c r="E144" s="58"/>
      <c r="F144" s="121">
        <f>F145</f>
        <v>1720</v>
      </c>
    </row>
    <row r="145" spans="1:6" s="32" customFormat="1" ht="24" x14ac:dyDescent="0.2">
      <c r="A145" s="80" t="s">
        <v>423</v>
      </c>
      <c r="B145" s="24" t="s">
        <v>214</v>
      </c>
      <c r="C145" s="24" t="s">
        <v>235</v>
      </c>
      <c r="D145" s="43" t="s">
        <v>193</v>
      </c>
      <c r="E145" s="37"/>
      <c r="F145" s="117">
        <f>F146</f>
        <v>1720</v>
      </c>
    </row>
    <row r="146" spans="1:6" s="32" customFormat="1" x14ac:dyDescent="0.2">
      <c r="A146" s="84" t="s">
        <v>473</v>
      </c>
      <c r="B146" s="30" t="s">
        <v>214</v>
      </c>
      <c r="C146" s="30" t="s">
        <v>235</v>
      </c>
      <c r="D146" s="40" t="s">
        <v>193</v>
      </c>
      <c r="E146" s="31">
        <v>200</v>
      </c>
      <c r="F146" s="118">
        <f>F147</f>
        <v>1720</v>
      </c>
    </row>
    <row r="147" spans="1:6" s="32" customFormat="1" x14ac:dyDescent="0.2">
      <c r="A147" s="84" t="s">
        <v>227</v>
      </c>
      <c r="B147" s="30" t="s">
        <v>214</v>
      </c>
      <c r="C147" s="30" t="s">
        <v>235</v>
      </c>
      <c r="D147" s="40" t="s">
        <v>193</v>
      </c>
      <c r="E147" s="31">
        <v>240</v>
      </c>
      <c r="F147" s="118">
        <v>1720</v>
      </c>
    </row>
    <row r="148" spans="1:6" s="32" customFormat="1" ht="13.5" x14ac:dyDescent="0.2">
      <c r="A148" s="170" t="s">
        <v>196</v>
      </c>
      <c r="B148" s="53" t="s">
        <v>214</v>
      </c>
      <c r="C148" s="53" t="s">
        <v>235</v>
      </c>
      <c r="D148" s="53" t="s">
        <v>245</v>
      </c>
      <c r="E148" s="53"/>
      <c r="F148" s="57">
        <f>F149</f>
        <v>800</v>
      </c>
    </row>
    <row r="149" spans="1:6" s="32" customFormat="1" x14ac:dyDescent="0.2">
      <c r="A149" s="61" t="s">
        <v>43</v>
      </c>
      <c r="B149" s="24" t="s">
        <v>214</v>
      </c>
      <c r="C149" s="24" t="s">
        <v>235</v>
      </c>
      <c r="D149" s="24" t="s">
        <v>46</v>
      </c>
      <c r="E149" s="24"/>
      <c r="F149" s="42">
        <f>F150</f>
        <v>800</v>
      </c>
    </row>
    <row r="150" spans="1:6" s="32" customFormat="1" x14ac:dyDescent="0.2">
      <c r="A150" s="62" t="s">
        <v>44</v>
      </c>
      <c r="B150" s="25" t="s">
        <v>214</v>
      </c>
      <c r="C150" s="25" t="s">
        <v>235</v>
      </c>
      <c r="D150" s="25" t="s">
        <v>45</v>
      </c>
      <c r="E150" s="25"/>
      <c r="F150" s="45">
        <f>F151</f>
        <v>800</v>
      </c>
    </row>
    <row r="151" spans="1:6" s="32" customFormat="1" ht="24" x14ac:dyDescent="0.2">
      <c r="A151" s="84" t="s">
        <v>217</v>
      </c>
      <c r="B151" s="30" t="s">
        <v>214</v>
      </c>
      <c r="C151" s="30" t="s">
        <v>235</v>
      </c>
      <c r="D151" s="30" t="s">
        <v>45</v>
      </c>
      <c r="E151" s="30" t="s">
        <v>218</v>
      </c>
      <c r="F151" s="41">
        <f>F152</f>
        <v>800</v>
      </c>
    </row>
    <row r="152" spans="1:6" s="32" customFormat="1" x14ac:dyDescent="0.2">
      <c r="A152" s="84" t="s">
        <v>219</v>
      </c>
      <c r="B152" s="30" t="s">
        <v>214</v>
      </c>
      <c r="C152" s="30" t="s">
        <v>235</v>
      </c>
      <c r="D152" s="30" t="s">
        <v>45</v>
      </c>
      <c r="E152" s="30" t="s">
        <v>224</v>
      </c>
      <c r="F152" s="41">
        <v>800</v>
      </c>
    </row>
    <row r="153" spans="1:6" s="32" customFormat="1" x14ac:dyDescent="0.2">
      <c r="A153" s="81" t="s">
        <v>212</v>
      </c>
      <c r="B153" s="25" t="s">
        <v>214</v>
      </c>
      <c r="C153" s="25" t="s">
        <v>235</v>
      </c>
      <c r="D153" s="25" t="s">
        <v>382</v>
      </c>
      <c r="E153" s="25"/>
      <c r="F153" s="45">
        <f>F154+F194</f>
        <v>85060.730670000004</v>
      </c>
    </row>
    <row r="154" spans="1:6" s="32" customFormat="1" x14ac:dyDescent="0.2">
      <c r="A154" s="80" t="s">
        <v>476</v>
      </c>
      <c r="B154" s="24" t="s">
        <v>214</v>
      </c>
      <c r="C154" s="24" t="s">
        <v>235</v>
      </c>
      <c r="D154" s="24" t="s">
        <v>383</v>
      </c>
      <c r="E154" s="24"/>
      <c r="F154" s="42">
        <f>F155+F178+F181+F184+F188+F191</f>
        <v>82866.730670000004</v>
      </c>
    </row>
    <row r="155" spans="1:6" s="32" customFormat="1" x14ac:dyDescent="0.2">
      <c r="A155" s="85" t="s">
        <v>819</v>
      </c>
      <c r="B155" s="33" t="s">
        <v>214</v>
      </c>
      <c r="C155" s="33" t="s">
        <v>235</v>
      </c>
      <c r="D155" s="33" t="s">
        <v>383</v>
      </c>
      <c r="E155" s="25"/>
      <c r="F155" s="101">
        <f>F156+F163+F175+F168</f>
        <v>51704</v>
      </c>
    </row>
    <row r="156" spans="1:6" s="32" customFormat="1" x14ac:dyDescent="0.2">
      <c r="A156" s="80" t="s">
        <v>173</v>
      </c>
      <c r="B156" s="24" t="s">
        <v>214</v>
      </c>
      <c r="C156" s="24" t="s">
        <v>235</v>
      </c>
      <c r="D156" s="24" t="s">
        <v>513</v>
      </c>
      <c r="E156" s="24"/>
      <c r="F156" s="42">
        <f>F157+F159+F161</f>
        <v>40674</v>
      </c>
    </row>
    <row r="157" spans="1:6" s="32" customFormat="1" ht="24" x14ac:dyDescent="0.2">
      <c r="A157" s="84" t="s">
        <v>217</v>
      </c>
      <c r="B157" s="30" t="s">
        <v>214</v>
      </c>
      <c r="C157" s="30" t="s">
        <v>235</v>
      </c>
      <c r="D157" s="30" t="s">
        <v>513</v>
      </c>
      <c r="E157" s="30" t="s">
        <v>218</v>
      </c>
      <c r="F157" s="41">
        <f>F158</f>
        <v>31984</v>
      </c>
    </row>
    <row r="158" spans="1:6" s="32" customFormat="1" x14ac:dyDescent="0.2">
      <c r="A158" s="84" t="s">
        <v>820</v>
      </c>
      <c r="B158" s="30" t="s">
        <v>214</v>
      </c>
      <c r="C158" s="30" t="s">
        <v>235</v>
      </c>
      <c r="D158" s="30" t="s">
        <v>513</v>
      </c>
      <c r="E158" s="30" t="s">
        <v>821</v>
      </c>
      <c r="F158" s="41">
        <f>35644-460-2200-1000</f>
        <v>31984</v>
      </c>
    </row>
    <row r="159" spans="1:6" s="32" customFormat="1" x14ac:dyDescent="0.2">
      <c r="A159" s="84" t="s">
        <v>473</v>
      </c>
      <c r="B159" s="30" t="s">
        <v>214</v>
      </c>
      <c r="C159" s="30" t="s">
        <v>235</v>
      </c>
      <c r="D159" s="30" t="s">
        <v>513</v>
      </c>
      <c r="E159" s="30" t="s">
        <v>226</v>
      </c>
      <c r="F159" s="41">
        <f>F160</f>
        <v>8440</v>
      </c>
    </row>
    <row r="160" spans="1:6" s="32" customFormat="1" x14ac:dyDescent="0.2">
      <c r="A160" s="84" t="s">
        <v>227</v>
      </c>
      <c r="B160" s="30" t="s">
        <v>214</v>
      </c>
      <c r="C160" s="30" t="s">
        <v>235</v>
      </c>
      <c r="D160" s="30" t="s">
        <v>513</v>
      </c>
      <c r="E160" s="30" t="s">
        <v>228</v>
      </c>
      <c r="F160" s="41">
        <f>5780+460+2200</f>
        <v>8440</v>
      </c>
    </row>
    <row r="161" spans="1:6" s="32" customFormat="1" x14ac:dyDescent="0.2">
      <c r="A161" s="84" t="s">
        <v>229</v>
      </c>
      <c r="B161" s="30" t="s">
        <v>214</v>
      </c>
      <c r="C161" s="30" t="s">
        <v>235</v>
      </c>
      <c r="D161" s="30" t="s">
        <v>513</v>
      </c>
      <c r="E161" s="30" t="s">
        <v>230</v>
      </c>
      <c r="F161" s="41">
        <f>F162</f>
        <v>250</v>
      </c>
    </row>
    <row r="162" spans="1:6" s="32" customFormat="1" x14ac:dyDescent="0.2">
      <c r="A162" s="84" t="s">
        <v>106</v>
      </c>
      <c r="B162" s="30" t="s">
        <v>214</v>
      </c>
      <c r="C162" s="30" t="s">
        <v>235</v>
      </c>
      <c r="D162" s="30" t="s">
        <v>513</v>
      </c>
      <c r="E162" s="30" t="s">
        <v>231</v>
      </c>
      <c r="F162" s="41">
        <v>250</v>
      </c>
    </row>
    <row r="163" spans="1:6" s="32" customFormat="1" x14ac:dyDescent="0.2">
      <c r="A163" s="80" t="s">
        <v>153</v>
      </c>
      <c r="B163" s="24" t="s">
        <v>214</v>
      </c>
      <c r="C163" s="24" t="s">
        <v>235</v>
      </c>
      <c r="D163" s="24" t="s">
        <v>522</v>
      </c>
      <c r="E163" s="24"/>
      <c r="F163" s="42">
        <f>F164+F166</f>
        <v>925</v>
      </c>
    </row>
    <row r="164" spans="1:6" s="32" customFormat="1" ht="24" x14ac:dyDescent="0.2">
      <c r="A164" s="84" t="s">
        <v>217</v>
      </c>
      <c r="B164" s="30" t="s">
        <v>214</v>
      </c>
      <c r="C164" s="30" t="s">
        <v>235</v>
      </c>
      <c r="D164" s="30" t="s">
        <v>522</v>
      </c>
      <c r="E164" s="30" t="s">
        <v>218</v>
      </c>
      <c r="F164" s="41">
        <f>F165</f>
        <v>715</v>
      </c>
    </row>
    <row r="165" spans="1:6" s="32" customFormat="1" x14ac:dyDescent="0.2">
      <c r="A165" s="84" t="s">
        <v>820</v>
      </c>
      <c r="B165" s="30" t="s">
        <v>214</v>
      </c>
      <c r="C165" s="30" t="s">
        <v>235</v>
      </c>
      <c r="D165" s="30" t="s">
        <v>522</v>
      </c>
      <c r="E165" s="30" t="s">
        <v>821</v>
      </c>
      <c r="F165" s="41">
        <f>5650+145+1700-1500-5670+390</f>
        <v>715</v>
      </c>
    </row>
    <row r="166" spans="1:6" s="32" customFormat="1" x14ac:dyDescent="0.2">
      <c r="A166" s="84" t="s">
        <v>237</v>
      </c>
      <c r="B166" s="30" t="s">
        <v>214</v>
      </c>
      <c r="C166" s="30" t="s">
        <v>235</v>
      </c>
      <c r="D166" s="30" t="s">
        <v>522</v>
      </c>
      <c r="E166" s="30" t="s">
        <v>236</v>
      </c>
      <c r="F166" s="41">
        <f>F167</f>
        <v>210</v>
      </c>
    </row>
    <row r="167" spans="1:6" s="32" customFormat="1" x14ac:dyDescent="0.2">
      <c r="A167" s="84" t="s">
        <v>238</v>
      </c>
      <c r="B167" s="30" t="s">
        <v>214</v>
      </c>
      <c r="C167" s="30" t="s">
        <v>235</v>
      </c>
      <c r="D167" s="30" t="s">
        <v>522</v>
      </c>
      <c r="E167" s="30" t="s">
        <v>239</v>
      </c>
      <c r="F167" s="41">
        <f>600-390</f>
        <v>210</v>
      </c>
    </row>
    <row r="168" spans="1:6" s="32" customFormat="1" x14ac:dyDescent="0.2">
      <c r="A168" s="80" t="s">
        <v>813</v>
      </c>
      <c r="B168" s="24" t="s">
        <v>214</v>
      </c>
      <c r="C168" s="24" t="s">
        <v>235</v>
      </c>
      <c r="D168" s="24" t="s">
        <v>814</v>
      </c>
      <c r="E168" s="24"/>
      <c r="F168" s="42">
        <f>F169+F171+F173</f>
        <v>7755</v>
      </c>
    </row>
    <row r="169" spans="1:6" s="32" customFormat="1" ht="24" x14ac:dyDescent="0.2">
      <c r="A169" s="84" t="s">
        <v>217</v>
      </c>
      <c r="B169" s="30" t="s">
        <v>214</v>
      </c>
      <c r="C169" s="30" t="s">
        <v>235</v>
      </c>
      <c r="D169" s="30" t="s">
        <v>814</v>
      </c>
      <c r="E169" s="30" t="s">
        <v>218</v>
      </c>
      <c r="F169" s="41">
        <f>F170</f>
        <v>7570</v>
      </c>
    </row>
    <row r="170" spans="1:6" s="32" customFormat="1" x14ac:dyDescent="0.2">
      <c r="A170" s="84" t="s">
        <v>820</v>
      </c>
      <c r="B170" s="30" t="s">
        <v>214</v>
      </c>
      <c r="C170" s="30" t="s">
        <v>235</v>
      </c>
      <c r="D170" s="30" t="s">
        <v>814</v>
      </c>
      <c r="E170" s="30" t="s">
        <v>821</v>
      </c>
      <c r="F170" s="41">
        <f>5070+2500</f>
        <v>7570</v>
      </c>
    </row>
    <row r="171" spans="1:6" s="32" customFormat="1" x14ac:dyDescent="0.2">
      <c r="A171" s="84" t="s">
        <v>473</v>
      </c>
      <c r="B171" s="30" t="s">
        <v>214</v>
      </c>
      <c r="C171" s="30" t="s">
        <v>235</v>
      </c>
      <c r="D171" s="30" t="s">
        <v>814</v>
      </c>
      <c r="E171" s="30" t="s">
        <v>226</v>
      </c>
      <c r="F171" s="41">
        <f>F172</f>
        <v>170</v>
      </c>
    </row>
    <row r="172" spans="1:6" s="32" customFormat="1" x14ac:dyDescent="0.2">
      <c r="A172" s="84" t="s">
        <v>227</v>
      </c>
      <c r="B172" s="30" t="s">
        <v>214</v>
      </c>
      <c r="C172" s="30" t="s">
        <v>235</v>
      </c>
      <c r="D172" s="30" t="s">
        <v>814</v>
      </c>
      <c r="E172" s="30" t="s">
        <v>228</v>
      </c>
      <c r="F172" s="41">
        <f>270-100</f>
        <v>170</v>
      </c>
    </row>
    <row r="173" spans="1:6" s="32" customFormat="1" x14ac:dyDescent="0.2">
      <c r="A173" s="84" t="s">
        <v>229</v>
      </c>
      <c r="B173" s="30" t="s">
        <v>214</v>
      </c>
      <c r="C173" s="30" t="s">
        <v>235</v>
      </c>
      <c r="D173" s="30" t="s">
        <v>814</v>
      </c>
      <c r="E173" s="30" t="s">
        <v>230</v>
      </c>
      <c r="F173" s="41">
        <f>F174</f>
        <v>15</v>
      </c>
    </row>
    <row r="174" spans="1:6" s="32" customFormat="1" x14ac:dyDescent="0.2">
      <c r="A174" s="84" t="s">
        <v>106</v>
      </c>
      <c r="B174" s="30" t="s">
        <v>214</v>
      </c>
      <c r="C174" s="30" t="s">
        <v>235</v>
      </c>
      <c r="D174" s="30" t="s">
        <v>814</v>
      </c>
      <c r="E174" s="30" t="s">
        <v>231</v>
      </c>
      <c r="F174" s="41">
        <v>15</v>
      </c>
    </row>
    <row r="175" spans="1:6" s="32" customFormat="1" x14ac:dyDescent="0.2">
      <c r="A175" s="80" t="s">
        <v>278</v>
      </c>
      <c r="B175" s="24" t="s">
        <v>214</v>
      </c>
      <c r="C175" s="24" t="s">
        <v>235</v>
      </c>
      <c r="D175" s="24" t="s">
        <v>523</v>
      </c>
      <c r="E175" s="24"/>
      <c r="F175" s="42">
        <f>F176</f>
        <v>2350</v>
      </c>
    </row>
    <row r="176" spans="1:6" s="32" customFormat="1" x14ac:dyDescent="0.2">
      <c r="A176" s="84" t="s">
        <v>246</v>
      </c>
      <c r="B176" s="30" t="s">
        <v>214</v>
      </c>
      <c r="C176" s="30" t="s">
        <v>235</v>
      </c>
      <c r="D176" s="30" t="s">
        <v>523</v>
      </c>
      <c r="E176" s="30" t="s">
        <v>702</v>
      </c>
      <c r="F176" s="41">
        <f>F177</f>
        <v>2350</v>
      </c>
    </row>
    <row r="177" spans="1:6" s="32" customFormat="1" x14ac:dyDescent="0.2">
      <c r="A177" s="84" t="s">
        <v>247</v>
      </c>
      <c r="B177" s="30" t="s">
        <v>214</v>
      </c>
      <c r="C177" s="30" t="s">
        <v>235</v>
      </c>
      <c r="D177" s="30" t="s">
        <v>523</v>
      </c>
      <c r="E177" s="30" t="s">
        <v>724</v>
      </c>
      <c r="F177" s="41">
        <f>1600+250+300+200</f>
        <v>2350</v>
      </c>
    </row>
    <row r="178" spans="1:6" s="32" customFormat="1" ht="24" x14ac:dyDescent="0.2">
      <c r="A178" s="80" t="s">
        <v>280</v>
      </c>
      <c r="B178" s="24" t="s">
        <v>214</v>
      </c>
      <c r="C178" s="24" t="s">
        <v>235</v>
      </c>
      <c r="D178" s="24" t="s">
        <v>180</v>
      </c>
      <c r="E178" s="24"/>
      <c r="F178" s="42">
        <f>F179</f>
        <v>21000</v>
      </c>
    </row>
    <row r="179" spans="1:6" s="32" customFormat="1" x14ac:dyDescent="0.2">
      <c r="A179" s="84" t="s">
        <v>229</v>
      </c>
      <c r="B179" s="30" t="s">
        <v>214</v>
      </c>
      <c r="C179" s="30" t="s">
        <v>235</v>
      </c>
      <c r="D179" s="30" t="s">
        <v>180</v>
      </c>
      <c r="E179" s="30" t="s">
        <v>230</v>
      </c>
      <c r="F179" s="41">
        <f>F180</f>
        <v>21000</v>
      </c>
    </row>
    <row r="180" spans="1:6" s="32" customFormat="1" x14ac:dyDescent="0.2">
      <c r="A180" s="84" t="s">
        <v>106</v>
      </c>
      <c r="B180" s="30" t="s">
        <v>214</v>
      </c>
      <c r="C180" s="30" t="s">
        <v>235</v>
      </c>
      <c r="D180" s="30" t="s">
        <v>180</v>
      </c>
      <c r="E180" s="30" t="s">
        <v>231</v>
      </c>
      <c r="F180" s="41">
        <f>28500+10000-2500-15000</f>
        <v>21000</v>
      </c>
    </row>
    <row r="181" spans="1:6" s="32" customFormat="1" x14ac:dyDescent="0.2">
      <c r="A181" s="80" t="s">
        <v>281</v>
      </c>
      <c r="B181" s="24" t="s">
        <v>214</v>
      </c>
      <c r="C181" s="24" t="s">
        <v>235</v>
      </c>
      <c r="D181" s="24" t="s">
        <v>282</v>
      </c>
      <c r="E181" s="24"/>
      <c r="F181" s="35">
        <f>F182</f>
        <v>0</v>
      </c>
    </row>
    <row r="182" spans="1:6" s="32" customFormat="1" x14ac:dyDescent="0.2">
      <c r="A182" s="84" t="s">
        <v>229</v>
      </c>
      <c r="B182" s="30" t="s">
        <v>214</v>
      </c>
      <c r="C182" s="30" t="s">
        <v>235</v>
      </c>
      <c r="D182" s="30" t="s">
        <v>282</v>
      </c>
      <c r="E182" s="30" t="s">
        <v>230</v>
      </c>
      <c r="F182" s="118">
        <f>F183</f>
        <v>0</v>
      </c>
    </row>
    <row r="183" spans="1:6" s="32" customFormat="1" x14ac:dyDescent="0.2">
      <c r="A183" s="84" t="s">
        <v>106</v>
      </c>
      <c r="B183" s="30" t="s">
        <v>214</v>
      </c>
      <c r="C183" s="30" t="s">
        <v>235</v>
      </c>
      <c r="D183" s="30" t="s">
        <v>282</v>
      </c>
      <c r="E183" s="30" t="s">
        <v>231</v>
      </c>
      <c r="F183" s="118">
        <f>11000-11000</f>
        <v>0</v>
      </c>
    </row>
    <row r="184" spans="1:6" s="32" customFormat="1" x14ac:dyDescent="0.2">
      <c r="A184" s="80" t="s">
        <v>510</v>
      </c>
      <c r="B184" s="24" t="s">
        <v>214</v>
      </c>
      <c r="C184" s="24" t="s">
        <v>235</v>
      </c>
      <c r="D184" s="43" t="s">
        <v>147</v>
      </c>
      <c r="E184" s="24"/>
      <c r="F184" s="117">
        <f>F185</f>
        <v>8162.7306699999999</v>
      </c>
    </row>
    <row r="185" spans="1:6" s="32" customFormat="1" x14ac:dyDescent="0.2">
      <c r="A185" s="84" t="s">
        <v>229</v>
      </c>
      <c r="B185" s="30" t="s">
        <v>214</v>
      </c>
      <c r="C185" s="30" t="s">
        <v>235</v>
      </c>
      <c r="D185" s="40" t="s">
        <v>147</v>
      </c>
      <c r="E185" s="30" t="s">
        <v>230</v>
      </c>
      <c r="F185" s="118">
        <f>F186+F187</f>
        <v>8162.7306699999999</v>
      </c>
    </row>
    <row r="186" spans="1:6" s="32" customFormat="1" x14ac:dyDescent="0.2">
      <c r="A186" s="84" t="s">
        <v>306</v>
      </c>
      <c r="B186" s="30" t="s">
        <v>214</v>
      </c>
      <c r="C186" s="30" t="s">
        <v>235</v>
      </c>
      <c r="D186" s="40" t="s">
        <v>147</v>
      </c>
      <c r="E186" s="30" t="s">
        <v>310</v>
      </c>
      <c r="F186" s="118">
        <f>4570+5+8.58371+2.69295-150-200+15+0.71101+1620+93.743+2167</f>
        <v>8132.7306699999999</v>
      </c>
    </row>
    <row r="187" spans="1:6" s="32" customFormat="1" x14ac:dyDescent="0.2">
      <c r="A187" s="84" t="s">
        <v>106</v>
      </c>
      <c r="B187" s="30" t="s">
        <v>214</v>
      </c>
      <c r="C187" s="30" t="s">
        <v>235</v>
      </c>
      <c r="D187" s="40" t="s">
        <v>147</v>
      </c>
      <c r="E187" s="30" t="s">
        <v>231</v>
      </c>
      <c r="F187" s="118">
        <f>10+20</f>
        <v>30</v>
      </c>
    </row>
    <row r="188" spans="1:6" s="32" customFormat="1" ht="24" x14ac:dyDescent="0.2">
      <c r="A188" s="80" t="s">
        <v>493</v>
      </c>
      <c r="B188" s="24" t="s">
        <v>214</v>
      </c>
      <c r="C188" s="24" t="s">
        <v>235</v>
      </c>
      <c r="D188" s="24" t="s">
        <v>268</v>
      </c>
      <c r="E188" s="37"/>
      <c r="F188" s="42">
        <f>F189</f>
        <v>1000</v>
      </c>
    </row>
    <row r="189" spans="1:6" s="32" customFormat="1" x14ac:dyDescent="0.2">
      <c r="A189" s="84" t="s">
        <v>473</v>
      </c>
      <c r="B189" s="30" t="s">
        <v>214</v>
      </c>
      <c r="C189" s="30" t="s">
        <v>235</v>
      </c>
      <c r="D189" s="30" t="s">
        <v>268</v>
      </c>
      <c r="E189" s="31">
        <v>200</v>
      </c>
      <c r="F189" s="41">
        <f>F190</f>
        <v>1000</v>
      </c>
    </row>
    <row r="190" spans="1:6" s="32" customFormat="1" x14ac:dyDescent="0.2">
      <c r="A190" s="84" t="s">
        <v>227</v>
      </c>
      <c r="B190" s="30" t="s">
        <v>214</v>
      </c>
      <c r="C190" s="30" t="s">
        <v>235</v>
      </c>
      <c r="D190" s="30" t="s">
        <v>268</v>
      </c>
      <c r="E190" s="30" t="s">
        <v>228</v>
      </c>
      <c r="F190" s="41">
        <v>1000</v>
      </c>
    </row>
    <row r="191" spans="1:6" s="32" customFormat="1" x14ac:dyDescent="0.2">
      <c r="A191" s="80" t="s">
        <v>553</v>
      </c>
      <c r="B191" s="24" t="s">
        <v>214</v>
      </c>
      <c r="C191" s="24" t="s">
        <v>235</v>
      </c>
      <c r="D191" s="24" t="s">
        <v>269</v>
      </c>
      <c r="E191" s="24"/>
      <c r="F191" s="42">
        <f>F192</f>
        <v>1000</v>
      </c>
    </row>
    <row r="192" spans="1:6" s="32" customFormat="1" x14ac:dyDescent="0.2">
      <c r="A192" s="84" t="s">
        <v>473</v>
      </c>
      <c r="B192" s="30" t="s">
        <v>214</v>
      </c>
      <c r="C192" s="30" t="s">
        <v>235</v>
      </c>
      <c r="D192" s="30" t="s">
        <v>269</v>
      </c>
      <c r="E192" s="31">
        <v>200</v>
      </c>
      <c r="F192" s="41">
        <f>F193</f>
        <v>1000</v>
      </c>
    </row>
    <row r="193" spans="1:6" s="32" customFormat="1" x14ac:dyDescent="0.2">
      <c r="A193" s="84" t="s">
        <v>227</v>
      </c>
      <c r="B193" s="30" t="s">
        <v>214</v>
      </c>
      <c r="C193" s="30" t="s">
        <v>235</v>
      </c>
      <c r="D193" s="30" t="s">
        <v>269</v>
      </c>
      <c r="E193" s="30" t="s">
        <v>228</v>
      </c>
      <c r="F193" s="41">
        <v>1000</v>
      </c>
    </row>
    <row r="194" spans="1:6" s="32" customFormat="1" x14ac:dyDescent="0.2">
      <c r="A194" s="83" t="s">
        <v>146</v>
      </c>
      <c r="B194" s="25" t="s">
        <v>214</v>
      </c>
      <c r="C194" s="25" t="s">
        <v>235</v>
      </c>
      <c r="D194" s="25" t="s">
        <v>382</v>
      </c>
      <c r="E194" s="25"/>
      <c r="F194" s="45">
        <f>F195</f>
        <v>2194</v>
      </c>
    </row>
    <row r="195" spans="1:6" s="32" customFormat="1" x14ac:dyDescent="0.2">
      <c r="A195" s="80" t="s">
        <v>250</v>
      </c>
      <c r="B195" s="24" t="s">
        <v>214</v>
      </c>
      <c r="C195" s="24" t="s">
        <v>235</v>
      </c>
      <c r="D195" s="24" t="s">
        <v>383</v>
      </c>
      <c r="E195" s="24"/>
      <c r="F195" s="42">
        <f>F196</f>
        <v>2194</v>
      </c>
    </row>
    <row r="196" spans="1:6" s="32" customFormat="1" ht="24" x14ac:dyDescent="0.2">
      <c r="A196" s="85" t="s">
        <v>139</v>
      </c>
      <c r="B196" s="33" t="s">
        <v>214</v>
      </c>
      <c r="C196" s="33" t="s">
        <v>235</v>
      </c>
      <c r="D196" s="33" t="s">
        <v>399</v>
      </c>
      <c r="E196" s="33"/>
      <c r="F196" s="101">
        <f>F197</f>
        <v>2194</v>
      </c>
    </row>
    <row r="197" spans="1:6" s="32" customFormat="1" x14ac:dyDescent="0.2">
      <c r="A197" s="82" t="s">
        <v>149</v>
      </c>
      <c r="B197" s="24" t="s">
        <v>214</v>
      </c>
      <c r="C197" s="24" t="s">
        <v>235</v>
      </c>
      <c r="D197" s="24" t="s">
        <v>399</v>
      </c>
      <c r="E197" s="24"/>
      <c r="F197" s="42">
        <f>F198</f>
        <v>2194</v>
      </c>
    </row>
    <row r="198" spans="1:6" s="32" customFormat="1" ht="24" x14ac:dyDescent="0.2">
      <c r="A198" s="84" t="s">
        <v>217</v>
      </c>
      <c r="B198" s="30" t="s">
        <v>214</v>
      </c>
      <c r="C198" s="30" t="s">
        <v>235</v>
      </c>
      <c r="D198" s="30" t="s">
        <v>399</v>
      </c>
      <c r="E198" s="30" t="s">
        <v>218</v>
      </c>
      <c r="F198" s="41">
        <f>F199</f>
        <v>2194</v>
      </c>
    </row>
    <row r="199" spans="1:6" s="32" customFormat="1" x14ac:dyDescent="0.2">
      <c r="A199" s="84" t="s">
        <v>219</v>
      </c>
      <c r="B199" s="30" t="s">
        <v>214</v>
      </c>
      <c r="C199" s="30" t="s">
        <v>235</v>
      </c>
      <c r="D199" s="30" t="s">
        <v>399</v>
      </c>
      <c r="E199" s="30" t="s">
        <v>224</v>
      </c>
      <c r="F199" s="41">
        <v>2194</v>
      </c>
    </row>
    <row r="200" spans="1:6" s="32" customFormat="1" x14ac:dyDescent="0.2">
      <c r="A200" s="80" t="s">
        <v>511</v>
      </c>
      <c r="B200" s="24" t="s">
        <v>817</v>
      </c>
      <c r="C200" s="24" t="s">
        <v>215</v>
      </c>
      <c r="D200" s="24"/>
      <c r="E200" s="24"/>
      <c r="F200" s="42">
        <f>F201</f>
        <v>4655.6000000000004</v>
      </c>
    </row>
    <row r="201" spans="1:6" s="32" customFormat="1" ht="24" x14ac:dyDescent="0.2">
      <c r="A201" s="80" t="s">
        <v>654</v>
      </c>
      <c r="B201" s="24" t="s">
        <v>817</v>
      </c>
      <c r="C201" s="24" t="s">
        <v>818</v>
      </c>
      <c r="D201" s="24"/>
      <c r="E201" s="24"/>
      <c r="F201" s="42">
        <f>F202</f>
        <v>4655.6000000000004</v>
      </c>
    </row>
    <row r="202" spans="1:6" s="32" customFormat="1" x14ac:dyDescent="0.2">
      <c r="A202" s="83" t="s">
        <v>762</v>
      </c>
      <c r="B202" s="25" t="s">
        <v>817</v>
      </c>
      <c r="C202" s="25" t="s">
        <v>818</v>
      </c>
      <c r="D202" s="25" t="s">
        <v>382</v>
      </c>
      <c r="E202" s="25"/>
      <c r="F202" s="45">
        <f>F203</f>
        <v>4655.6000000000004</v>
      </c>
    </row>
    <row r="203" spans="1:6" s="32" customFormat="1" x14ac:dyDescent="0.2">
      <c r="A203" s="80" t="s">
        <v>476</v>
      </c>
      <c r="B203" s="24" t="s">
        <v>817</v>
      </c>
      <c r="C203" s="24" t="s">
        <v>818</v>
      </c>
      <c r="D203" s="24" t="s">
        <v>383</v>
      </c>
      <c r="E203" s="24"/>
      <c r="F203" s="42">
        <f>F207+F204</f>
        <v>4655.6000000000004</v>
      </c>
    </row>
    <row r="204" spans="1:6" s="32" customFormat="1" ht="24" x14ac:dyDescent="0.2">
      <c r="A204" s="80" t="s">
        <v>277</v>
      </c>
      <c r="B204" s="24" t="s">
        <v>817</v>
      </c>
      <c r="C204" s="24" t="s">
        <v>818</v>
      </c>
      <c r="D204" s="24" t="s">
        <v>195</v>
      </c>
      <c r="E204" s="24"/>
      <c r="F204" s="42">
        <f>F205</f>
        <v>1000</v>
      </c>
    </row>
    <row r="205" spans="1:6" s="32" customFormat="1" x14ac:dyDescent="0.2">
      <c r="A205" s="84" t="s">
        <v>473</v>
      </c>
      <c r="B205" s="30" t="s">
        <v>817</v>
      </c>
      <c r="C205" s="30" t="s">
        <v>818</v>
      </c>
      <c r="D205" s="30" t="s">
        <v>195</v>
      </c>
      <c r="E205" s="30" t="s">
        <v>226</v>
      </c>
      <c r="F205" s="41">
        <f>F206</f>
        <v>1000</v>
      </c>
    </row>
    <row r="206" spans="1:6" s="32" customFormat="1" x14ac:dyDescent="0.2">
      <c r="A206" s="84" t="s">
        <v>227</v>
      </c>
      <c r="B206" s="30" t="s">
        <v>817</v>
      </c>
      <c r="C206" s="30" t="s">
        <v>818</v>
      </c>
      <c r="D206" s="30" t="s">
        <v>195</v>
      </c>
      <c r="E206" s="30" t="s">
        <v>228</v>
      </c>
      <c r="F206" s="41">
        <v>1000</v>
      </c>
    </row>
    <row r="207" spans="1:6" s="32" customFormat="1" x14ac:dyDescent="0.2">
      <c r="A207" s="85" t="s">
        <v>819</v>
      </c>
      <c r="B207" s="33" t="s">
        <v>817</v>
      </c>
      <c r="C207" s="33" t="s">
        <v>818</v>
      </c>
      <c r="D207" s="33" t="s">
        <v>383</v>
      </c>
      <c r="E207" s="33"/>
      <c r="F207" s="101">
        <f>F208</f>
        <v>3655.6</v>
      </c>
    </row>
    <row r="208" spans="1:6" s="32" customFormat="1" x14ac:dyDescent="0.2">
      <c r="A208" s="80" t="s">
        <v>164</v>
      </c>
      <c r="B208" s="24" t="s">
        <v>817</v>
      </c>
      <c r="C208" s="24" t="s">
        <v>818</v>
      </c>
      <c r="D208" s="24" t="s">
        <v>552</v>
      </c>
      <c r="E208" s="24"/>
      <c r="F208" s="42">
        <f>F209+F211+F213</f>
        <v>3655.6</v>
      </c>
    </row>
    <row r="209" spans="1:6" s="32" customFormat="1" ht="24" x14ac:dyDescent="0.2">
      <c r="A209" s="84" t="s">
        <v>217</v>
      </c>
      <c r="B209" s="30" t="s">
        <v>817</v>
      </c>
      <c r="C209" s="30" t="s">
        <v>818</v>
      </c>
      <c r="D209" s="30" t="s">
        <v>552</v>
      </c>
      <c r="E209" s="30" t="s">
        <v>218</v>
      </c>
      <c r="F209" s="41">
        <f>F210</f>
        <v>3374</v>
      </c>
    </row>
    <row r="210" spans="1:6" s="32" customFormat="1" x14ac:dyDescent="0.2">
      <c r="A210" s="84" t="s">
        <v>820</v>
      </c>
      <c r="B210" s="30" t="s">
        <v>817</v>
      </c>
      <c r="C210" s="30" t="s">
        <v>818</v>
      </c>
      <c r="D210" s="30" t="s">
        <v>552</v>
      </c>
      <c r="E210" s="30" t="s">
        <v>821</v>
      </c>
      <c r="F210" s="41">
        <f>2550+54+770</f>
        <v>3374</v>
      </c>
    </row>
    <row r="211" spans="1:6" s="32" customFormat="1" x14ac:dyDescent="0.2">
      <c r="A211" s="84" t="s">
        <v>473</v>
      </c>
      <c r="B211" s="30" t="s">
        <v>817</v>
      </c>
      <c r="C211" s="30" t="s">
        <v>818</v>
      </c>
      <c r="D211" s="30" t="s">
        <v>552</v>
      </c>
      <c r="E211" s="30" t="s">
        <v>226</v>
      </c>
      <c r="F211" s="41">
        <f>F212</f>
        <v>271</v>
      </c>
    </row>
    <row r="212" spans="1:6" s="32" customFormat="1" x14ac:dyDescent="0.2">
      <c r="A212" s="84" t="s">
        <v>227</v>
      </c>
      <c r="B212" s="30" t="s">
        <v>817</v>
      </c>
      <c r="C212" s="30" t="s">
        <v>818</v>
      </c>
      <c r="D212" s="30" t="s">
        <v>552</v>
      </c>
      <c r="E212" s="30" t="s">
        <v>228</v>
      </c>
      <c r="F212" s="41">
        <f>171+100</f>
        <v>271</v>
      </c>
    </row>
    <row r="213" spans="1:6" s="32" customFormat="1" x14ac:dyDescent="0.2">
      <c r="A213" s="84" t="s">
        <v>229</v>
      </c>
      <c r="B213" s="30" t="s">
        <v>817</v>
      </c>
      <c r="C213" s="30" t="s">
        <v>818</v>
      </c>
      <c r="D213" s="30" t="s">
        <v>552</v>
      </c>
      <c r="E213" s="30" t="s">
        <v>230</v>
      </c>
      <c r="F213" s="41">
        <f>F214</f>
        <v>10.6</v>
      </c>
    </row>
    <row r="214" spans="1:6" s="32" customFormat="1" x14ac:dyDescent="0.2">
      <c r="A214" s="84" t="s">
        <v>311</v>
      </c>
      <c r="B214" s="30" t="s">
        <v>817</v>
      </c>
      <c r="C214" s="30" t="s">
        <v>818</v>
      </c>
      <c r="D214" s="30" t="s">
        <v>552</v>
      </c>
      <c r="E214" s="30" t="s">
        <v>231</v>
      </c>
      <c r="F214" s="41">
        <f>3+7.6</f>
        <v>10.6</v>
      </c>
    </row>
    <row r="215" spans="1:6" s="48" customFormat="1" x14ac:dyDescent="0.2">
      <c r="A215" s="80" t="s">
        <v>655</v>
      </c>
      <c r="B215" s="24" t="s">
        <v>216</v>
      </c>
      <c r="C215" s="24" t="s">
        <v>215</v>
      </c>
      <c r="D215" s="24"/>
      <c r="E215" s="24"/>
      <c r="F215" s="42">
        <f>F220+F229+F247+F294+F216</f>
        <v>1000365.6143300002</v>
      </c>
    </row>
    <row r="216" spans="1:6" s="48" customFormat="1" x14ac:dyDescent="0.2">
      <c r="A216" s="80" t="s">
        <v>645</v>
      </c>
      <c r="B216" s="24" t="s">
        <v>216</v>
      </c>
      <c r="C216" s="24" t="s">
        <v>214</v>
      </c>
      <c r="D216" s="24"/>
      <c r="E216" s="24"/>
      <c r="F216" s="42">
        <f>F217</f>
        <v>850.15499999999997</v>
      </c>
    </row>
    <row r="217" spans="1:6" s="48" customFormat="1" ht="24" x14ac:dyDescent="0.2">
      <c r="A217" s="80" t="s">
        <v>646</v>
      </c>
      <c r="B217" s="24" t="s">
        <v>216</v>
      </c>
      <c r="C217" s="24" t="s">
        <v>214</v>
      </c>
      <c r="D217" s="24" t="s">
        <v>648</v>
      </c>
      <c r="E217" s="24"/>
      <c r="F217" s="42">
        <f>F218</f>
        <v>850.15499999999997</v>
      </c>
    </row>
    <row r="218" spans="1:6" s="48" customFormat="1" ht="24" x14ac:dyDescent="0.2">
      <c r="A218" s="84" t="s">
        <v>217</v>
      </c>
      <c r="B218" s="30" t="s">
        <v>216</v>
      </c>
      <c r="C218" s="30" t="s">
        <v>214</v>
      </c>
      <c r="D218" s="30" t="s">
        <v>648</v>
      </c>
      <c r="E218" s="30" t="s">
        <v>218</v>
      </c>
      <c r="F218" s="41">
        <f>F219</f>
        <v>850.15499999999997</v>
      </c>
    </row>
    <row r="219" spans="1:6" s="48" customFormat="1" x14ac:dyDescent="0.2">
      <c r="A219" s="84" t="s">
        <v>219</v>
      </c>
      <c r="B219" s="30" t="s">
        <v>216</v>
      </c>
      <c r="C219" s="30" t="s">
        <v>214</v>
      </c>
      <c r="D219" s="30" t="s">
        <v>648</v>
      </c>
      <c r="E219" s="30" t="s">
        <v>224</v>
      </c>
      <c r="F219" s="41">
        <f>276.675+573.48</f>
        <v>850.15499999999997</v>
      </c>
    </row>
    <row r="220" spans="1:6" s="48" customFormat="1" x14ac:dyDescent="0.2">
      <c r="A220" s="80" t="s">
        <v>665</v>
      </c>
      <c r="B220" s="24" t="s">
        <v>216</v>
      </c>
      <c r="C220" s="24" t="s">
        <v>824</v>
      </c>
      <c r="D220" s="24"/>
      <c r="E220" s="24"/>
      <c r="F220" s="42">
        <f>F221</f>
        <v>6000</v>
      </c>
    </row>
    <row r="221" spans="1:6" s="48" customFormat="1" ht="13.5" x14ac:dyDescent="0.2">
      <c r="A221" s="86" t="s">
        <v>439</v>
      </c>
      <c r="B221" s="53" t="s">
        <v>216</v>
      </c>
      <c r="C221" s="53" t="s">
        <v>824</v>
      </c>
      <c r="D221" s="93" t="s">
        <v>425</v>
      </c>
      <c r="E221" s="53"/>
      <c r="F221" s="57">
        <f>F222</f>
        <v>6000</v>
      </c>
    </row>
    <row r="222" spans="1:6" s="48" customFormat="1" x14ac:dyDescent="0.2">
      <c r="A222" s="80" t="s">
        <v>430</v>
      </c>
      <c r="B222" s="24" t="s">
        <v>216</v>
      </c>
      <c r="C222" s="24" t="s">
        <v>824</v>
      </c>
      <c r="D222" s="24" t="s">
        <v>63</v>
      </c>
      <c r="E222" s="24"/>
      <c r="F222" s="42">
        <f>F223+F225+F227</f>
        <v>6000</v>
      </c>
    </row>
    <row r="223" spans="1:6" s="48" customFormat="1" ht="24" x14ac:dyDescent="0.2">
      <c r="A223" s="84" t="s">
        <v>217</v>
      </c>
      <c r="B223" s="30" t="s">
        <v>216</v>
      </c>
      <c r="C223" s="30" t="s">
        <v>824</v>
      </c>
      <c r="D223" s="30" t="s">
        <v>63</v>
      </c>
      <c r="E223" s="30" t="s">
        <v>218</v>
      </c>
      <c r="F223" s="41">
        <f>F224</f>
        <v>5061</v>
      </c>
    </row>
    <row r="224" spans="1:6" s="48" customFormat="1" x14ac:dyDescent="0.2">
      <c r="A224" s="84" t="s">
        <v>820</v>
      </c>
      <c r="B224" s="30" t="s">
        <v>216</v>
      </c>
      <c r="C224" s="30" t="s">
        <v>824</v>
      </c>
      <c r="D224" s="30" t="s">
        <v>63</v>
      </c>
      <c r="E224" s="30" t="s">
        <v>821</v>
      </c>
      <c r="F224" s="41">
        <f>3872+1169+20</f>
        <v>5061</v>
      </c>
    </row>
    <row r="225" spans="1:6" s="48" customFormat="1" x14ac:dyDescent="0.2">
      <c r="A225" s="84" t="s">
        <v>473</v>
      </c>
      <c r="B225" s="30" t="s">
        <v>216</v>
      </c>
      <c r="C225" s="30" t="s">
        <v>824</v>
      </c>
      <c r="D225" s="30" t="s">
        <v>63</v>
      </c>
      <c r="E225" s="30" t="s">
        <v>226</v>
      </c>
      <c r="F225" s="41">
        <f>F226</f>
        <v>897.64886999999999</v>
      </c>
    </row>
    <row r="226" spans="1:6" s="48" customFormat="1" x14ac:dyDescent="0.2">
      <c r="A226" s="84" t="s">
        <v>227</v>
      </c>
      <c r="B226" s="30" t="s">
        <v>216</v>
      </c>
      <c r="C226" s="30" t="s">
        <v>824</v>
      </c>
      <c r="D226" s="30" t="s">
        <v>63</v>
      </c>
      <c r="E226" s="30" t="s">
        <v>228</v>
      </c>
      <c r="F226" s="41">
        <f>934-0.25113-20-16.1</f>
        <v>897.64886999999999</v>
      </c>
    </row>
    <row r="227" spans="1:6" s="48" customFormat="1" x14ac:dyDescent="0.2">
      <c r="A227" s="84" t="s">
        <v>229</v>
      </c>
      <c r="B227" s="30" t="s">
        <v>216</v>
      </c>
      <c r="C227" s="30" t="s">
        <v>824</v>
      </c>
      <c r="D227" s="30" t="s">
        <v>63</v>
      </c>
      <c r="E227" s="30" t="s">
        <v>230</v>
      </c>
      <c r="F227" s="41">
        <f>F228</f>
        <v>41.351129999999998</v>
      </c>
    </row>
    <row r="228" spans="1:6" s="48" customFormat="1" x14ac:dyDescent="0.2">
      <c r="A228" s="84" t="s">
        <v>311</v>
      </c>
      <c r="B228" s="30" t="s">
        <v>216</v>
      </c>
      <c r="C228" s="30" t="s">
        <v>824</v>
      </c>
      <c r="D228" s="30" t="s">
        <v>63</v>
      </c>
      <c r="E228" s="30" t="s">
        <v>231</v>
      </c>
      <c r="F228" s="41">
        <f>25+0.25113+16.1</f>
        <v>41.351129999999998</v>
      </c>
    </row>
    <row r="229" spans="1:6" s="32" customFormat="1" x14ac:dyDescent="0.2">
      <c r="A229" s="80" t="s">
        <v>666</v>
      </c>
      <c r="B229" s="24" t="s">
        <v>216</v>
      </c>
      <c r="C229" s="24" t="s">
        <v>822</v>
      </c>
      <c r="D229" s="24"/>
      <c r="E229" s="24"/>
      <c r="F229" s="42">
        <f>F230</f>
        <v>65214.5</v>
      </c>
    </row>
    <row r="230" spans="1:6" s="32" customFormat="1" ht="27" x14ac:dyDescent="0.2">
      <c r="A230" s="86" t="s">
        <v>48</v>
      </c>
      <c r="B230" s="53" t="s">
        <v>216</v>
      </c>
      <c r="C230" s="53" t="s">
        <v>822</v>
      </c>
      <c r="D230" s="53" t="s">
        <v>404</v>
      </c>
      <c r="E230" s="53"/>
      <c r="F230" s="57">
        <f>F231+F240</f>
        <v>65214.5</v>
      </c>
    </row>
    <row r="231" spans="1:6" s="32" customFormat="1" x14ac:dyDescent="0.2">
      <c r="A231" s="80" t="s">
        <v>241</v>
      </c>
      <c r="B231" s="24" t="s">
        <v>216</v>
      </c>
      <c r="C231" s="24" t="s">
        <v>822</v>
      </c>
      <c r="D231" s="24" t="s">
        <v>405</v>
      </c>
      <c r="E231" s="24"/>
      <c r="F231" s="42">
        <f>F232+F235</f>
        <v>5014.5</v>
      </c>
    </row>
    <row r="232" spans="1:6" s="32" customFormat="1" x14ac:dyDescent="0.2">
      <c r="A232" s="82" t="s">
        <v>475</v>
      </c>
      <c r="B232" s="24" t="s">
        <v>216</v>
      </c>
      <c r="C232" s="24" t="s">
        <v>822</v>
      </c>
      <c r="D232" s="24" t="s">
        <v>525</v>
      </c>
      <c r="E232" s="24"/>
      <c r="F232" s="42">
        <f>F233</f>
        <v>4824.5</v>
      </c>
    </row>
    <row r="233" spans="1:6" s="32" customFormat="1" ht="24" x14ac:dyDescent="0.2">
      <c r="A233" s="84" t="s">
        <v>217</v>
      </c>
      <c r="B233" s="30" t="s">
        <v>216</v>
      </c>
      <c r="C233" s="30" t="s">
        <v>822</v>
      </c>
      <c r="D233" s="30" t="s">
        <v>525</v>
      </c>
      <c r="E233" s="30" t="s">
        <v>218</v>
      </c>
      <c r="F233" s="41">
        <f>F234</f>
        <v>4824.5</v>
      </c>
    </row>
    <row r="234" spans="1:6" s="32" customFormat="1" x14ac:dyDescent="0.2">
      <c r="A234" s="84" t="s">
        <v>219</v>
      </c>
      <c r="B234" s="30" t="s">
        <v>216</v>
      </c>
      <c r="C234" s="30" t="s">
        <v>822</v>
      </c>
      <c r="D234" s="30" t="s">
        <v>525</v>
      </c>
      <c r="E234" s="30" t="s">
        <v>224</v>
      </c>
      <c r="F234" s="41">
        <f>3705.5+1119</f>
        <v>4824.5</v>
      </c>
    </row>
    <row r="235" spans="1:6" s="32" customFormat="1" x14ac:dyDescent="0.2">
      <c r="A235" s="80" t="s">
        <v>225</v>
      </c>
      <c r="B235" s="24" t="s">
        <v>216</v>
      </c>
      <c r="C235" s="24" t="s">
        <v>822</v>
      </c>
      <c r="D235" s="24" t="s">
        <v>526</v>
      </c>
      <c r="E235" s="24"/>
      <c r="F235" s="42">
        <f>F236+F238</f>
        <v>190</v>
      </c>
    </row>
    <row r="236" spans="1:6" s="32" customFormat="1" x14ac:dyDescent="0.2">
      <c r="A236" s="84" t="s">
        <v>473</v>
      </c>
      <c r="B236" s="30" t="s">
        <v>216</v>
      </c>
      <c r="C236" s="30" t="s">
        <v>822</v>
      </c>
      <c r="D236" s="30" t="s">
        <v>526</v>
      </c>
      <c r="E236" s="30" t="s">
        <v>226</v>
      </c>
      <c r="F236" s="41">
        <f>F237</f>
        <v>187</v>
      </c>
    </row>
    <row r="237" spans="1:6" s="32" customFormat="1" x14ac:dyDescent="0.2">
      <c r="A237" s="84" t="s">
        <v>227</v>
      </c>
      <c r="B237" s="30" t="s">
        <v>216</v>
      </c>
      <c r="C237" s="30" t="s">
        <v>822</v>
      </c>
      <c r="D237" s="30" t="s">
        <v>526</v>
      </c>
      <c r="E237" s="30" t="s">
        <v>228</v>
      </c>
      <c r="F237" s="41">
        <v>187</v>
      </c>
    </row>
    <row r="238" spans="1:6" s="32" customFormat="1" x14ac:dyDescent="0.2">
      <c r="A238" s="84" t="s">
        <v>229</v>
      </c>
      <c r="B238" s="30" t="s">
        <v>216</v>
      </c>
      <c r="C238" s="30" t="s">
        <v>822</v>
      </c>
      <c r="D238" s="30" t="s">
        <v>526</v>
      </c>
      <c r="E238" s="30" t="s">
        <v>230</v>
      </c>
      <c r="F238" s="41">
        <f>F239</f>
        <v>3</v>
      </c>
    </row>
    <row r="239" spans="1:6" s="32" customFormat="1" x14ac:dyDescent="0.2">
      <c r="A239" s="84" t="s">
        <v>311</v>
      </c>
      <c r="B239" s="30" t="s">
        <v>216</v>
      </c>
      <c r="C239" s="30" t="s">
        <v>822</v>
      </c>
      <c r="D239" s="30" t="s">
        <v>526</v>
      </c>
      <c r="E239" s="30" t="s">
        <v>231</v>
      </c>
      <c r="F239" s="41">
        <v>3</v>
      </c>
    </row>
    <row r="240" spans="1:6" s="32" customFormat="1" x14ac:dyDescent="0.2">
      <c r="A240" s="75" t="s">
        <v>527</v>
      </c>
      <c r="B240" s="24" t="s">
        <v>216</v>
      </c>
      <c r="C240" s="24" t="s">
        <v>822</v>
      </c>
      <c r="D240" s="43" t="s">
        <v>528</v>
      </c>
      <c r="E240" s="25"/>
      <c r="F240" s="42">
        <f>F241+F244</f>
        <v>60200</v>
      </c>
    </row>
    <row r="241" spans="1:6" s="32" customFormat="1" ht="24" x14ac:dyDescent="0.2">
      <c r="A241" s="123" t="s">
        <v>529</v>
      </c>
      <c r="B241" s="25" t="s">
        <v>216</v>
      </c>
      <c r="C241" s="25" t="s">
        <v>822</v>
      </c>
      <c r="D241" s="54" t="s">
        <v>49</v>
      </c>
      <c r="E241" s="25"/>
      <c r="F241" s="45">
        <f>F242</f>
        <v>60000</v>
      </c>
    </row>
    <row r="242" spans="1:6" s="32" customFormat="1" x14ac:dyDescent="0.2">
      <c r="A242" s="84" t="s">
        <v>229</v>
      </c>
      <c r="B242" s="30" t="s">
        <v>216</v>
      </c>
      <c r="C242" s="30" t="s">
        <v>822</v>
      </c>
      <c r="D242" s="40" t="s">
        <v>49</v>
      </c>
      <c r="E242" s="30" t="s">
        <v>230</v>
      </c>
      <c r="F242" s="41">
        <f>F243</f>
        <v>60000</v>
      </c>
    </row>
    <row r="243" spans="1:6" s="32" customFormat="1" ht="24" x14ac:dyDescent="0.2">
      <c r="A243" s="84" t="s">
        <v>105</v>
      </c>
      <c r="B243" s="30" t="s">
        <v>216</v>
      </c>
      <c r="C243" s="30" t="s">
        <v>822</v>
      </c>
      <c r="D243" s="40" t="s">
        <v>49</v>
      </c>
      <c r="E243" s="30" t="s">
        <v>729</v>
      </c>
      <c r="F243" s="41">
        <v>60000</v>
      </c>
    </row>
    <row r="244" spans="1:6" s="32" customFormat="1" ht="36" x14ac:dyDescent="0.2">
      <c r="A244" s="83" t="s">
        <v>150</v>
      </c>
      <c r="B244" s="25" t="s">
        <v>216</v>
      </c>
      <c r="C244" s="25" t="s">
        <v>822</v>
      </c>
      <c r="D244" s="54" t="s">
        <v>530</v>
      </c>
      <c r="E244" s="25"/>
      <c r="F244" s="45">
        <f>F245</f>
        <v>200</v>
      </c>
    </row>
    <row r="245" spans="1:6" s="32" customFormat="1" x14ac:dyDescent="0.2">
      <c r="A245" s="84" t="s">
        <v>322</v>
      </c>
      <c r="B245" s="30" t="s">
        <v>216</v>
      </c>
      <c r="C245" s="30" t="s">
        <v>822</v>
      </c>
      <c r="D245" s="40" t="s">
        <v>530</v>
      </c>
      <c r="E245" s="30" t="s">
        <v>226</v>
      </c>
      <c r="F245" s="41">
        <f>F246</f>
        <v>200</v>
      </c>
    </row>
    <row r="246" spans="1:6" s="32" customFormat="1" x14ac:dyDescent="0.2">
      <c r="A246" s="84" t="s">
        <v>227</v>
      </c>
      <c r="B246" s="30" t="s">
        <v>216</v>
      </c>
      <c r="C246" s="30" t="s">
        <v>822</v>
      </c>
      <c r="D246" s="40" t="s">
        <v>530</v>
      </c>
      <c r="E246" s="30" t="s">
        <v>228</v>
      </c>
      <c r="F246" s="41">
        <f>700-500</f>
        <v>200</v>
      </c>
    </row>
    <row r="247" spans="1:6" s="32" customFormat="1" x14ac:dyDescent="0.2">
      <c r="A247" s="80" t="s">
        <v>690</v>
      </c>
      <c r="B247" s="24" t="s">
        <v>216</v>
      </c>
      <c r="C247" s="24" t="s">
        <v>818</v>
      </c>
      <c r="D247" s="40"/>
      <c r="E247" s="30"/>
      <c r="F247" s="42">
        <f>F248</f>
        <v>891598.15933000017</v>
      </c>
    </row>
    <row r="248" spans="1:6" s="32" customFormat="1" ht="27" x14ac:dyDescent="0.2">
      <c r="A248" s="86" t="s">
        <v>48</v>
      </c>
      <c r="B248" s="53" t="s">
        <v>216</v>
      </c>
      <c r="C248" s="53" t="s">
        <v>818</v>
      </c>
      <c r="D248" s="53" t="s">
        <v>404</v>
      </c>
      <c r="E248" s="53"/>
      <c r="F248" s="57">
        <f>F249+F253+F282</f>
        <v>891598.15933000017</v>
      </c>
    </row>
    <row r="249" spans="1:6" s="32" customFormat="1" ht="13.5" x14ac:dyDescent="0.2">
      <c r="A249" s="80" t="s">
        <v>241</v>
      </c>
      <c r="B249" s="24" t="s">
        <v>216</v>
      </c>
      <c r="C249" s="24" t="s">
        <v>818</v>
      </c>
      <c r="D249" s="24" t="s">
        <v>405</v>
      </c>
      <c r="E249" s="53"/>
      <c r="F249" s="42">
        <f>F250</f>
        <v>594</v>
      </c>
    </row>
    <row r="250" spans="1:6" s="32" customFormat="1" x14ac:dyDescent="0.2">
      <c r="A250" s="83" t="s">
        <v>396</v>
      </c>
      <c r="B250" s="25" t="s">
        <v>216</v>
      </c>
      <c r="C250" s="25" t="s">
        <v>818</v>
      </c>
      <c r="D250" s="25" t="s">
        <v>51</v>
      </c>
      <c r="E250" s="25"/>
      <c r="F250" s="45">
        <f>F251</f>
        <v>594</v>
      </c>
    </row>
    <row r="251" spans="1:6" s="32" customFormat="1" x14ac:dyDescent="0.2">
      <c r="A251" s="84" t="s">
        <v>473</v>
      </c>
      <c r="B251" s="30" t="s">
        <v>216</v>
      </c>
      <c r="C251" s="30" t="s">
        <v>818</v>
      </c>
      <c r="D251" s="30" t="s">
        <v>51</v>
      </c>
      <c r="E251" s="30" t="s">
        <v>226</v>
      </c>
      <c r="F251" s="41">
        <f>F252</f>
        <v>594</v>
      </c>
    </row>
    <row r="252" spans="1:6" s="32" customFormat="1" x14ac:dyDescent="0.2">
      <c r="A252" s="84" t="s">
        <v>227</v>
      </c>
      <c r="B252" s="30" t="s">
        <v>216</v>
      </c>
      <c r="C252" s="30" t="s">
        <v>818</v>
      </c>
      <c r="D252" s="30" t="s">
        <v>51</v>
      </c>
      <c r="E252" s="30" t="s">
        <v>228</v>
      </c>
      <c r="F252" s="41">
        <v>594</v>
      </c>
    </row>
    <row r="253" spans="1:6" s="32" customFormat="1" ht="24" x14ac:dyDescent="0.2">
      <c r="A253" s="75" t="s">
        <v>531</v>
      </c>
      <c r="B253" s="24" t="s">
        <v>216</v>
      </c>
      <c r="C253" s="24" t="s">
        <v>818</v>
      </c>
      <c r="D253" s="43" t="s">
        <v>532</v>
      </c>
      <c r="E253" s="24"/>
      <c r="F253" s="42">
        <f>F254+F257+F262+F267+F270+F273+F276+F279</f>
        <v>872085.85933000012</v>
      </c>
    </row>
    <row r="254" spans="1:6" s="32" customFormat="1" ht="24" x14ac:dyDescent="0.2">
      <c r="A254" s="83" t="s">
        <v>407</v>
      </c>
      <c r="B254" s="30" t="s">
        <v>216</v>
      </c>
      <c r="C254" s="30" t="s">
        <v>818</v>
      </c>
      <c r="D254" s="25" t="s">
        <v>50</v>
      </c>
      <c r="E254" s="25"/>
      <c r="F254" s="45">
        <f>F255</f>
        <v>19252.359329999999</v>
      </c>
    </row>
    <row r="255" spans="1:6" s="32" customFormat="1" x14ac:dyDescent="0.2">
      <c r="A255" s="84" t="s">
        <v>473</v>
      </c>
      <c r="B255" s="30" t="s">
        <v>216</v>
      </c>
      <c r="C255" s="30" t="s">
        <v>818</v>
      </c>
      <c r="D255" s="30" t="s">
        <v>50</v>
      </c>
      <c r="E255" s="30" t="s">
        <v>226</v>
      </c>
      <c r="F255" s="41">
        <f>F256</f>
        <v>19252.359329999999</v>
      </c>
    </row>
    <row r="256" spans="1:6" s="32" customFormat="1" x14ac:dyDescent="0.2">
      <c r="A256" s="84" t="s">
        <v>227</v>
      </c>
      <c r="B256" s="30" t="s">
        <v>216</v>
      </c>
      <c r="C256" s="30" t="s">
        <v>818</v>
      </c>
      <c r="D256" s="30" t="s">
        <v>50</v>
      </c>
      <c r="E256" s="30" t="s">
        <v>228</v>
      </c>
      <c r="F256" s="41">
        <f>16929+2323.35933</f>
        <v>19252.359329999999</v>
      </c>
    </row>
    <row r="257" spans="1:6" s="32" customFormat="1" ht="24" x14ac:dyDescent="0.2">
      <c r="A257" s="83" t="s">
        <v>170</v>
      </c>
      <c r="B257" s="25" t="s">
        <v>216</v>
      </c>
      <c r="C257" s="25" t="s">
        <v>818</v>
      </c>
      <c r="D257" s="25" t="s">
        <v>165</v>
      </c>
      <c r="E257" s="25"/>
      <c r="F257" s="122">
        <f>F258+F260</f>
        <v>231292.7</v>
      </c>
    </row>
    <row r="258" spans="1:6" s="32" customFormat="1" x14ac:dyDescent="0.2">
      <c r="A258" s="84" t="s">
        <v>322</v>
      </c>
      <c r="B258" s="30" t="s">
        <v>216</v>
      </c>
      <c r="C258" s="30" t="s">
        <v>818</v>
      </c>
      <c r="D258" s="30" t="s">
        <v>165</v>
      </c>
      <c r="E258" s="30" t="s">
        <v>226</v>
      </c>
      <c r="F258" s="118">
        <f>F259</f>
        <v>216900.31400000001</v>
      </c>
    </row>
    <row r="259" spans="1:6" s="32" customFormat="1" x14ac:dyDescent="0.2">
      <c r="A259" s="84" t="s">
        <v>227</v>
      </c>
      <c r="B259" s="30" t="s">
        <v>216</v>
      </c>
      <c r="C259" s="30" t="s">
        <v>818</v>
      </c>
      <c r="D259" s="30" t="s">
        <v>165</v>
      </c>
      <c r="E259" s="30" t="s">
        <v>228</v>
      </c>
      <c r="F259" s="118">
        <f>134196.9+97095.8-14392.386</f>
        <v>216900.31400000001</v>
      </c>
    </row>
    <row r="260" spans="1:6" s="32" customFormat="1" x14ac:dyDescent="0.2">
      <c r="A260" s="84" t="s">
        <v>394</v>
      </c>
      <c r="B260" s="30" t="s">
        <v>216</v>
      </c>
      <c r="C260" s="30" t="s">
        <v>818</v>
      </c>
      <c r="D260" s="30" t="s">
        <v>165</v>
      </c>
      <c r="E260" s="30" t="s">
        <v>733</v>
      </c>
      <c r="F260" s="118">
        <f>F261</f>
        <v>14392.386</v>
      </c>
    </row>
    <row r="261" spans="1:6" s="32" customFormat="1" x14ac:dyDescent="0.2">
      <c r="A261" s="84" t="s">
        <v>734</v>
      </c>
      <c r="B261" s="30" t="s">
        <v>216</v>
      </c>
      <c r="C261" s="30" t="s">
        <v>818</v>
      </c>
      <c r="D261" s="30" t="s">
        <v>165</v>
      </c>
      <c r="E261" s="30" t="s">
        <v>735</v>
      </c>
      <c r="F261" s="118">
        <v>14392.386</v>
      </c>
    </row>
    <row r="262" spans="1:6" s="32" customFormat="1" ht="24" x14ac:dyDescent="0.2">
      <c r="A262" s="83" t="s">
        <v>408</v>
      </c>
      <c r="B262" s="25" t="s">
        <v>216</v>
      </c>
      <c r="C262" s="25" t="s">
        <v>818</v>
      </c>
      <c r="D262" s="25" t="s">
        <v>166</v>
      </c>
      <c r="E262" s="25"/>
      <c r="F262" s="45">
        <f>F263+F265</f>
        <v>25000</v>
      </c>
    </row>
    <row r="263" spans="1:6" s="32" customFormat="1" x14ac:dyDescent="0.2">
      <c r="A263" s="84" t="s">
        <v>473</v>
      </c>
      <c r="B263" s="30" t="s">
        <v>216</v>
      </c>
      <c r="C263" s="30" t="s">
        <v>818</v>
      </c>
      <c r="D263" s="30" t="s">
        <v>166</v>
      </c>
      <c r="E263" s="30" t="s">
        <v>226</v>
      </c>
      <c r="F263" s="41">
        <f>F264</f>
        <v>24242.506000000001</v>
      </c>
    </row>
    <row r="264" spans="1:6" s="32" customFormat="1" x14ac:dyDescent="0.2">
      <c r="A264" s="84" t="s">
        <v>227</v>
      </c>
      <c r="B264" s="30" t="s">
        <v>216</v>
      </c>
      <c r="C264" s="30" t="s">
        <v>818</v>
      </c>
      <c r="D264" s="30" t="s">
        <v>166</v>
      </c>
      <c r="E264" s="30" t="s">
        <v>228</v>
      </c>
      <c r="F264" s="41">
        <f>25000-757.494</f>
        <v>24242.506000000001</v>
      </c>
    </row>
    <row r="265" spans="1:6" s="32" customFormat="1" x14ac:dyDescent="0.2">
      <c r="A265" s="84" t="s">
        <v>394</v>
      </c>
      <c r="B265" s="30" t="s">
        <v>216</v>
      </c>
      <c r="C265" s="30" t="s">
        <v>818</v>
      </c>
      <c r="D265" s="30" t="s">
        <v>166</v>
      </c>
      <c r="E265" s="30" t="s">
        <v>733</v>
      </c>
      <c r="F265" s="41">
        <f>F266</f>
        <v>757.49400000000003</v>
      </c>
    </row>
    <row r="266" spans="1:6" s="32" customFormat="1" x14ac:dyDescent="0.2">
      <c r="A266" s="84" t="s">
        <v>734</v>
      </c>
      <c r="B266" s="30" t="s">
        <v>216</v>
      </c>
      <c r="C266" s="30" t="s">
        <v>818</v>
      </c>
      <c r="D266" s="30" t="s">
        <v>166</v>
      </c>
      <c r="E266" s="30" t="s">
        <v>735</v>
      </c>
      <c r="F266" s="41">
        <v>757.49400000000003</v>
      </c>
    </row>
    <row r="267" spans="1:6" s="32" customFormat="1" x14ac:dyDescent="0.2">
      <c r="A267" s="83" t="s">
        <v>396</v>
      </c>
      <c r="B267" s="25" t="s">
        <v>216</v>
      </c>
      <c r="C267" s="25" t="s">
        <v>818</v>
      </c>
      <c r="D267" s="25" t="s">
        <v>52</v>
      </c>
      <c r="E267" s="25"/>
      <c r="F267" s="45">
        <f>F268</f>
        <v>67833.5</v>
      </c>
    </row>
    <row r="268" spans="1:6" s="32" customFormat="1" x14ac:dyDescent="0.2">
      <c r="A268" s="84" t="s">
        <v>473</v>
      </c>
      <c r="B268" s="30" t="s">
        <v>216</v>
      </c>
      <c r="C268" s="30" t="s">
        <v>818</v>
      </c>
      <c r="D268" s="30" t="s">
        <v>52</v>
      </c>
      <c r="E268" s="30" t="s">
        <v>226</v>
      </c>
      <c r="F268" s="41">
        <f>F269</f>
        <v>67833.5</v>
      </c>
    </row>
    <row r="269" spans="1:6" s="32" customFormat="1" x14ac:dyDescent="0.2">
      <c r="A269" s="84" t="s">
        <v>227</v>
      </c>
      <c r="B269" s="30" t="s">
        <v>216</v>
      </c>
      <c r="C269" s="30" t="s">
        <v>818</v>
      </c>
      <c r="D269" s="30" t="s">
        <v>52</v>
      </c>
      <c r="E269" s="30" t="s">
        <v>228</v>
      </c>
      <c r="F269" s="41">
        <f>80000.5-10000-2167</f>
        <v>67833.5</v>
      </c>
    </row>
    <row r="270" spans="1:6" s="32" customFormat="1" x14ac:dyDescent="0.2">
      <c r="A270" s="83" t="s">
        <v>829</v>
      </c>
      <c r="B270" s="25" t="s">
        <v>216</v>
      </c>
      <c r="C270" s="25" t="s">
        <v>818</v>
      </c>
      <c r="D270" s="25" t="s">
        <v>830</v>
      </c>
      <c r="E270" s="25"/>
      <c r="F270" s="45">
        <f>F271</f>
        <v>10000</v>
      </c>
    </row>
    <row r="271" spans="1:6" s="32" customFormat="1" x14ac:dyDescent="0.2">
      <c r="A271" s="84" t="s">
        <v>473</v>
      </c>
      <c r="B271" s="30" t="s">
        <v>216</v>
      </c>
      <c r="C271" s="30" t="s">
        <v>818</v>
      </c>
      <c r="D271" s="30" t="s">
        <v>830</v>
      </c>
      <c r="E271" s="30" t="s">
        <v>226</v>
      </c>
      <c r="F271" s="41">
        <f>F272</f>
        <v>10000</v>
      </c>
    </row>
    <row r="272" spans="1:6" s="32" customFormat="1" x14ac:dyDescent="0.2">
      <c r="A272" s="84" t="s">
        <v>227</v>
      </c>
      <c r="B272" s="30" t="s">
        <v>216</v>
      </c>
      <c r="C272" s="30" t="s">
        <v>818</v>
      </c>
      <c r="D272" s="30" t="s">
        <v>830</v>
      </c>
      <c r="E272" s="30" t="s">
        <v>228</v>
      </c>
      <c r="F272" s="41">
        <v>10000</v>
      </c>
    </row>
    <row r="273" spans="1:6" s="32" customFormat="1" ht="36" x14ac:dyDescent="0.2">
      <c r="A273" s="80" t="s">
        <v>22</v>
      </c>
      <c r="B273" s="24" t="s">
        <v>490</v>
      </c>
      <c r="C273" s="24" t="s">
        <v>818</v>
      </c>
      <c r="D273" s="24" t="s">
        <v>20</v>
      </c>
      <c r="E273" s="24"/>
      <c r="F273" s="42">
        <f>F274</f>
        <v>400000</v>
      </c>
    </row>
    <row r="274" spans="1:6" s="32" customFormat="1" x14ac:dyDescent="0.2">
      <c r="A274" s="84" t="s">
        <v>473</v>
      </c>
      <c r="B274" s="30" t="s">
        <v>216</v>
      </c>
      <c r="C274" s="30" t="s">
        <v>818</v>
      </c>
      <c r="D274" s="30" t="s">
        <v>20</v>
      </c>
      <c r="E274" s="30" t="s">
        <v>226</v>
      </c>
      <c r="F274" s="41">
        <f>F275</f>
        <v>400000</v>
      </c>
    </row>
    <row r="275" spans="1:6" s="32" customFormat="1" x14ac:dyDescent="0.2">
      <c r="A275" s="84" t="s">
        <v>227</v>
      </c>
      <c r="B275" s="30" t="s">
        <v>216</v>
      </c>
      <c r="C275" s="30" t="s">
        <v>818</v>
      </c>
      <c r="D275" s="30" t="s">
        <v>20</v>
      </c>
      <c r="E275" s="30" t="s">
        <v>228</v>
      </c>
      <c r="F275" s="41">
        <f>400000</f>
        <v>400000</v>
      </c>
    </row>
    <row r="276" spans="1:6" s="32" customFormat="1" ht="24" x14ac:dyDescent="0.2">
      <c r="A276" s="80" t="s">
        <v>23</v>
      </c>
      <c r="B276" s="24" t="s">
        <v>490</v>
      </c>
      <c r="C276" s="24" t="s">
        <v>818</v>
      </c>
      <c r="D276" s="24" t="s">
        <v>24</v>
      </c>
      <c r="E276" s="24"/>
      <c r="F276" s="42">
        <f>F277</f>
        <v>115635</v>
      </c>
    </row>
    <row r="277" spans="1:6" s="32" customFormat="1" x14ac:dyDescent="0.2">
      <c r="A277" s="84" t="s">
        <v>473</v>
      </c>
      <c r="B277" s="30" t="s">
        <v>216</v>
      </c>
      <c r="C277" s="30" t="s">
        <v>818</v>
      </c>
      <c r="D277" s="30" t="s">
        <v>24</v>
      </c>
      <c r="E277" s="30" t="s">
        <v>226</v>
      </c>
      <c r="F277" s="41">
        <f>F278</f>
        <v>115635</v>
      </c>
    </row>
    <row r="278" spans="1:6" s="32" customFormat="1" x14ac:dyDescent="0.2">
      <c r="A278" s="84" t="s">
        <v>227</v>
      </c>
      <c r="B278" s="30" t="s">
        <v>216</v>
      </c>
      <c r="C278" s="30" t="s">
        <v>818</v>
      </c>
      <c r="D278" s="30" t="s">
        <v>24</v>
      </c>
      <c r="E278" s="30" t="s">
        <v>228</v>
      </c>
      <c r="F278" s="41">
        <v>115635</v>
      </c>
    </row>
    <row r="279" spans="1:6" s="32" customFormat="1" ht="36" x14ac:dyDescent="0.2">
      <c r="A279" s="61" t="s">
        <v>25</v>
      </c>
      <c r="B279" s="24" t="s">
        <v>216</v>
      </c>
      <c r="C279" s="24" t="s">
        <v>818</v>
      </c>
      <c r="D279" s="24" t="s">
        <v>26</v>
      </c>
      <c r="E279" s="24"/>
      <c r="F279" s="117">
        <f>F280</f>
        <v>3072.3</v>
      </c>
    </row>
    <row r="280" spans="1:6" s="32" customFormat="1" x14ac:dyDescent="0.2">
      <c r="A280" s="84" t="s">
        <v>473</v>
      </c>
      <c r="B280" s="30" t="s">
        <v>216</v>
      </c>
      <c r="C280" s="30" t="s">
        <v>818</v>
      </c>
      <c r="D280" s="30" t="s">
        <v>26</v>
      </c>
      <c r="E280" s="30" t="s">
        <v>226</v>
      </c>
      <c r="F280" s="118">
        <f>F281</f>
        <v>3072.3</v>
      </c>
    </row>
    <row r="281" spans="1:6" s="32" customFormat="1" x14ac:dyDescent="0.2">
      <c r="A281" s="84" t="s">
        <v>227</v>
      </c>
      <c r="B281" s="30" t="s">
        <v>216</v>
      </c>
      <c r="C281" s="30" t="s">
        <v>818</v>
      </c>
      <c r="D281" s="30" t="s">
        <v>26</v>
      </c>
      <c r="E281" s="30" t="s">
        <v>228</v>
      </c>
      <c r="F281" s="118">
        <f>3072.3</f>
        <v>3072.3</v>
      </c>
    </row>
    <row r="282" spans="1:6" s="32" customFormat="1" x14ac:dyDescent="0.2">
      <c r="A282" s="80" t="s">
        <v>763</v>
      </c>
      <c r="B282" s="24" t="s">
        <v>216</v>
      </c>
      <c r="C282" s="24" t="s">
        <v>818</v>
      </c>
      <c r="D282" s="24" t="s">
        <v>524</v>
      </c>
      <c r="E282" s="24"/>
      <c r="F282" s="42">
        <f>F283+F291</f>
        <v>18918.3</v>
      </c>
    </row>
    <row r="283" spans="1:6" s="32" customFormat="1" x14ac:dyDescent="0.2">
      <c r="A283" s="105" t="s">
        <v>533</v>
      </c>
      <c r="B283" s="33" t="s">
        <v>216</v>
      </c>
      <c r="C283" s="33" t="s">
        <v>818</v>
      </c>
      <c r="D283" s="55" t="s">
        <v>53</v>
      </c>
      <c r="E283" s="33"/>
      <c r="F283" s="101">
        <f>F284</f>
        <v>4182.3</v>
      </c>
    </row>
    <row r="284" spans="1:6" s="32" customFormat="1" x14ac:dyDescent="0.2">
      <c r="A284" s="80" t="s">
        <v>819</v>
      </c>
      <c r="B284" s="24" t="s">
        <v>216</v>
      </c>
      <c r="C284" s="24" t="s">
        <v>818</v>
      </c>
      <c r="D284" s="24" t="s">
        <v>53</v>
      </c>
      <c r="E284" s="24"/>
      <c r="F284" s="42">
        <f>F285+F287+F289</f>
        <v>4182.3</v>
      </c>
    </row>
    <row r="285" spans="1:6" s="32" customFormat="1" ht="24" x14ac:dyDescent="0.2">
      <c r="A285" s="84" t="s">
        <v>217</v>
      </c>
      <c r="B285" s="30" t="s">
        <v>216</v>
      </c>
      <c r="C285" s="30" t="s">
        <v>818</v>
      </c>
      <c r="D285" s="30" t="s">
        <v>53</v>
      </c>
      <c r="E285" s="30" t="s">
        <v>218</v>
      </c>
      <c r="F285" s="41">
        <f>F286</f>
        <v>3728.3</v>
      </c>
    </row>
    <row r="286" spans="1:6" s="32" customFormat="1" x14ac:dyDescent="0.2">
      <c r="A286" s="84" t="s">
        <v>820</v>
      </c>
      <c r="B286" s="30" t="s">
        <v>216</v>
      </c>
      <c r="C286" s="30" t="s">
        <v>818</v>
      </c>
      <c r="D286" s="30" t="s">
        <v>53</v>
      </c>
      <c r="E286" s="30" t="s">
        <v>821</v>
      </c>
      <c r="F286" s="41">
        <f>2863.5+864.8</f>
        <v>3728.3</v>
      </c>
    </row>
    <row r="287" spans="1:6" s="32" customFormat="1" x14ac:dyDescent="0.2">
      <c r="A287" s="84" t="s">
        <v>473</v>
      </c>
      <c r="B287" s="30" t="s">
        <v>216</v>
      </c>
      <c r="C287" s="30" t="s">
        <v>818</v>
      </c>
      <c r="D287" s="30" t="s">
        <v>53</v>
      </c>
      <c r="E287" s="30" t="s">
        <v>226</v>
      </c>
      <c r="F287" s="41">
        <f>F288</f>
        <v>410.72550999999999</v>
      </c>
    </row>
    <row r="288" spans="1:6" s="32" customFormat="1" x14ac:dyDescent="0.2">
      <c r="A288" s="84" t="s">
        <v>227</v>
      </c>
      <c r="B288" s="30" t="s">
        <v>216</v>
      </c>
      <c r="C288" s="30" t="s">
        <v>818</v>
      </c>
      <c r="D288" s="30" t="s">
        <v>53</v>
      </c>
      <c r="E288" s="30" t="s">
        <v>228</v>
      </c>
      <c r="F288" s="41">
        <f>419-0.07549-8.199</f>
        <v>410.72550999999999</v>
      </c>
    </row>
    <row r="289" spans="1:6" s="32" customFormat="1" x14ac:dyDescent="0.2">
      <c r="A289" s="84" t="s">
        <v>229</v>
      </c>
      <c r="B289" s="30" t="s">
        <v>216</v>
      </c>
      <c r="C289" s="30" t="s">
        <v>818</v>
      </c>
      <c r="D289" s="30" t="s">
        <v>53</v>
      </c>
      <c r="E289" s="30" t="s">
        <v>230</v>
      </c>
      <c r="F289" s="41">
        <f>F290</f>
        <v>43.27449</v>
      </c>
    </row>
    <row r="290" spans="1:6" s="32" customFormat="1" x14ac:dyDescent="0.2">
      <c r="A290" s="84" t="s">
        <v>311</v>
      </c>
      <c r="B290" s="30" t="s">
        <v>216</v>
      </c>
      <c r="C290" s="30" t="s">
        <v>818</v>
      </c>
      <c r="D290" s="30" t="s">
        <v>53</v>
      </c>
      <c r="E290" s="30" t="s">
        <v>231</v>
      </c>
      <c r="F290" s="41">
        <f>35+0.07549+8.199</f>
        <v>43.27449</v>
      </c>
    </row>
    <row r="291" spans="1:6" s="32" customFormat="1" x14ac:dyDescent="0.2">
      <c r="A291" s="123" t="s">
        <v>534</v>
      </c>
      <c r="B291" s="25" t="s">
        <v>216</v>
      </c>
      <c r="C291" s="25" t="s">
        <v>818</v>
      </c>
      <c r="D291" s="54" t="s">
        <v>54</v>
      </c>
      <c r="E291" s="25"/>
      <c r="F291" s="45">
        <f>F292</f>
        <v>14736</v>
      </c>
    </row>
    <row r="292" spans="1:6" s="32" customFormat="1" x14ac:dyDescent="0.2">
      <c r="A292" s="84" t="s">
        <v>246</v>
      </c>
      <c r="B292" s="30" t="s">
        <v>216</v>
      </c>
      <c r="C292" s="30" t="s">
        <v>818</v>
      </c>
      <c r="D292" s="30" t="s">
        <v>54</v>
      </c>
      <c r="E292" s="30" t="s">
        <v>702</v>
      </c>
      <c r="F292" s="41">
        <f>F293</f>
        <v>14736</v>
      </c>
    </row>
    <row r="293" spans="1:6" s="32" customFormat="1" x14ac:dyDescent="0.2">
      <c r="A293" s="84" t="s">
        <v>247</v>
      </c>
      <c r="B293" s="30" t="s">
        <v>216</v>
      </c>
      <c r="C293" s="30" t="s">
        <v>818</v>
      </c>
      <c r="D293" s="30" t="s">
        <v>54</v>
      </c>
      <c r="E293" s="30" t="s">
        <v>724</v>
      </c>
      <c r="F293" s="41">
        <f>12456+2280</f>
        <v>14736</v>
      </c>
    </row>
    <row r="294" spans="1:6" s="32" customFormat="1" x14ac:dyDescent="0.2">
      <c r="A294" s="80" t="s">
        <v>698</v>
      </c>
      <c r="B294" s="24" t="s">
        <v>216</v>
      </c>
      <c r="C294" s="24" t="s">
        <v>823</v>
      </c>
      <c r="D294" s="40"/>
      <c r="E294" s="30"/>
      <c r="F294" s="42">
        <f>F295+F311+F316+F329</f>
        <v>36702.800000000003</v>
      </c>
    </row>
    <row r="295" spans="1:6" s="32" customFormat="1" ht="27" x14ac:dyDescent="0.2">
      <c r="A295" s="86" t="s">
        <v>699</v>
      </c>
      <c r="B295" s="53" t="s">
        <v>216</v>
      </c>
      <c r="C295" s="53" t="s">
        <v>823</v>
      </c>
      <c r="D295" s="53" t="s">
        <v>387</v>
      </c>
      <c r="E295" s="53"/>
      <c r="F295" s="115">
        <f>F296+F299+F302+F305+F308</f>
        <v>1500</v>
      </c>
    </row>
    <row r="296" spans="1:6" s="32" customFormat="1" ht="48" customHeight="1" x14ac:dyDescent="0.2">
      <c r="A296" s="61" t="s">
        <v>16</v>
      </c>
      <c r="B296" s="24" t="s">
        <v>216</v>
      </c>
      <c r="C296" s="24" t="s">
        <v>823</v>
      </c>
      <c r="D296" s="24" t="s">
        <v>28</v>
      </c>
      <c r="E296" s="24"/>
      <c r="F296" s="35">
        <f>F297</f>
        <v>200</v>
      </c>
    </row>
    <row r="297" spans="1:6" s="32" customFormat="1" x14ac:dyDescent="0.2">
      <c r="A297" s="84" t="s">
        <v>473</v>
      </c>
      <c r="B297" s="30" t="s">
        <v>216</v>
      </c>
      <c r="C297" s="30" t="s">
        <v>823</v>
      </c>
      <c r="D297" s="30" t="s">
        <v>28</v>
      </c>
      <c r="E297" s="30" t="s">
        <v>226</v>
      </c>
      <c r="F297" s="116">
        <f>F298</f>
        <v>200</v>
      </c>
    </row>
    <row r="298" spans="1:6" s="32" customFormat="1" x14ac:dyDescent="0.2">
      <c r="A298" s="84" t="s">
        <v>227</v>
      </c>
      <c r="B298" s="30" t="s">
        <v>216</v>
      </c>
      <c r="C298" s="30" t="s">
        <v>823</v>
      </c>
      <c r="D298" s="30" t="s">
        <v>28</v>
      </c>
      <c r="E298" s="30" t="s">
        <v>228</v>
      </c>
      <c r="F298" s="116">
        <v>200</v>
      </c>
    </row>
    <row r="299" spans="1:6" s="32" customFormat="1" ht="36" x14ac:dyDescent="0.2">
      <c r="A299" s="61" t="s">
        <v>17</v>
      </c>
      <c r="B299" s="24" t="s">
        <v>216</v>
      </c>
      <c r="C299" s="24" t="s">
        <v>823</v>
      </c>
      <c r="D299" s="24" t="s">
        <v>29</v>
      </c>
      <c r="E299" s="24"/>
      <c r="F299" s="35">
        <f>F300</f>
        <v>300</v>
      </c>
    </row>
    <row r="300" spans="1:6" s="32" customFormat="1" x14ac:dyDescent="0.2">
      <c r="A300" s="84" t="s">
        <v>473</v>
      </c>
      <c r="B300" s="30" t="s">
        <v>216</v>
      </c>
      <c r="C300" s="30" t="s">
        <v>823</v>
      </c>
      <c r="D300" s="30" t="s">
        <v>29</v>
      </c>
      <c r="E300" s="30" t="s">
        <v>226</v>
      </c>
      <c r="F300" s="116">
        <f>F301</f>
        <v>300</v>
      </c>
    </row>
    <row r="301" spans="1:6" s="32" customFormat="1" x14ac:dyDescent="0.2">
      <c r="A301" s="84" t="s">
        <v>227</v>
      </c>
      <c r="B301" s="30" t="s">
        <v>216</v>
      </c>
      <c r="C301" s="30" t="s">
        <v>823</v>
      </c>
      <c r="D301" s="30" t="s">
        <v>29</v>
      </c>
      <c r="E301" s="30" t="s">
        <v>228</v>
      </c>
      <c r="F301" s="116">
        <v>300</v>
      </c>
    </row>
    <row r="302" spans="1:6" s="32" customFormat="1" ht="24" x14ac:dyDescent="0.2">
      <c r="A302" s="80" t="s">
        <v>18</v>
      </c>
      <c r="B302" s="24" t="s">
        <v>216</v>
      </c>
      <c r="C302" s="24" t="s">
        <v>823</v>
      </c>
      <c r="D302" s="24" t="s">
        <v>30</v>
      </c>
      <c r="E302" s="24"/>
      <c r="F302" s="35">
        <f>F303</f>
        <v>300</v>
      </c>
    </row>
    <row r="303" spans="1:6" s="32" customFormat="1" x14ac:dyDescent="0.2">
      <c r="A303" s="84" t="s">
        <v>473</v>
      </c>
      <c r="B303" s="30" t="s">
        <v>216</v>
      </c>
      <c r="C303" s="30" t="s">
        <v>823</v>
      </c>
      <c r="D303" s="30" t="s">
        <v>30</v>
      </c>
      <c r="E303" s="30" t="s">
        <v>226</v>
      </c>
      <c r="F303" s="116">
        <f>F304</f>
        <v>300</v>
      </c>
    </row>
    <row r="304" spans="1:6" s="32" customFormat="1" x14ac:dyDescent="0.2">
      <c r="A304" s="84" t="s">
        <v>227</v>
      </c>
      <c r="B304" s="30" t="s">
        <v>216</v>
      </c>
      <c r="C304" s="30" t="s">
        <v>823</v>
      </c>
      <c r="D304" s="30" t="s">
        <v>30</v>
      </c>
      <c r="E304" s="30" t="s">
        <v>228</v>
      </c>
      <c r="F304" s="116">
        <v>300</v>
      </c>
    </row>
    <row r="305" spans="1:6" s="32" customFormat="1" ht="24" x14ac:dyDescent="0.2">
      <c r="A305" s="80" t="s">
        <v>19</v>
      </c>
      <c r="B305" s="24" t="s">
        <v>216</v>
      </c>
      <c r="C305" s="24" t="s">
        <v>823</v>
      </c>
      <c r="D305" s="24" t="s">
        <v>31</v>
      </c>
      <c r="E305" s="24"/>
      <c r="F305" s="35">
        <f>F306</f>
        <v>400</v>
      </c>
    </row>
    <row r="306" spans="1:6" s="32" customFormat="1" x14ac:dyDescent="0.2">
      <c r="A306" s="84" t="s">
        <v>473</v>
      </c>
      <c r="B306" s="30" t="s">
        <v>216</v>
      </c>
      <c r="C306" s="30" t="s">
        <v>823</v>
      </c>
      <c r="D306" s="30" t="s">
        <v>31</v>
      </c>
      <c r="E306" s="30" t="s">
        <v>226</v>
      </c>
      <c r="F306" s="116">
        <f>F307</f>
        <v>400</v>
      </c>
    </row>
    <row r="307" spans="1:6" s="32" customFormat="1" x14ac:dyDescent="0.2">
      <c r="A307" s="84" t="s">
        <v>227</v>
      </c>
      <c r="B307" s="30" t="s">
        <v>216</v>
      </c>
      <c r="C307" s="30" t="s">
        <v>823</v>
      </c>
      <c r="D307" s="30" t="s">
        <v>31</v>
      </c>
      <c r="E307" s="30" t="s">
        <v>228</v>
      </c>
      <c r="F307" s="116">
        <v>400</v>
      </c>
    </row>
    <row r="308" spans="1:6" s="32" customFormat="1" ht="24" x14ac:dyDescent="0.2">
      <c r="A308" s="80" t="s">
        <v>27</v>
      </c>
      <c r="B308" s="24" t="s">
        <v>216</v>
      </c>
      <c r="C308" s="24" t="s">
        <v>823</v>
      </c>
      <c r="D308" s="24" t="s">
        <v>32</v>
      </c>
      <c r="E308" s="24"/>
      <c r="F308" s="35">
        <f>F309</f>
        <v>300</v>
      </c>
    </row>
    <row r="309" spans="1:6" s="32" customFormat="1" x14ac:dyDescent="0.2">
      <c r="A309" s="84" t="s">
        <v>473</v>
      </c>
      <c r="B309" s="30" t="s">
        <v>216</v>
      </c>
      <c r="C309" s="30" t="s">
        <v>823</v>
      </c>
      <c r="D309" s="30" t="s">
        <v>32</v>
      </c>
      <c r="E309" s="30" t="s">
        <v>226</v>
      </c>
      <c r="F309" s="116">
        <f>F310</f>
        <v>300</v>
      </c>
    </row>
    <row r="310" spans="1:6" s="32" customFormat="1" x14ac:dyDescent="0.2">
      <c r="A310" s="84" t="s">
        <v>227</v>
      </c>
      <c r="B310" s="30" t="s">
        <v>216</v>
      </c>
      <c r="C310" s="30" t="s">
        <v>823</v>
      </c>
      <c r="D310" s="30" t="s">
        <v>32</v>
      </c>
      <c r="E310" s="30" t="s">
        <v>228</v>
      </c>
      <c r="F310" s="116">
        <v>300</v>
      </c>
    </row>
    <row r="311" spans="1:6" s="32" customFormat="1" ht="27" x14ac:dyDescent="0.2">
      <c r="A311" s="86" t="s">
        <v>65</v>
      </c>
      <c r="B311" s="53" t="s">
        <v>216</v>
      </c>
      <c r="C311" s="53" t="s">
        <v>823</v>
      </c>
      <c r="D311" s="53" t="s">
        <v>410</v>
      </c>
      <c r="E311" s="53"/>
      <c r="F311" s="57">
        <f>F312</f>
        <v>3500</v>
      </c>
    </row>
    <row r="312" spans="1:6" s="186" customFormat="1" ht="12" x14ac:dyDescent="0.2">
      <c r="A312" s="80" t="s">
        <v>412</v>
      </c>
      <c r="B312" s="24" t="s">
        <v>216</v>
      </c>
      <c r="C312" s="24" t="s">
        <v>823</v>
      </c>
      <c r="D312" s="24" t="s">
        <v>411</v>
      </c>
      <c r="E312" s="24"/>
      <c r="F312" s="42">
        <f>F313</f>
        <v>3500</v>
      </c>
    </row>
    <row r="313" spans="1:6" s="182" customFormat="1" ht="12" x14ac:dyDescent="0.2">
      <c r="A313" s="125" t="s">
        <v>718</v>
      </c>
      <c r="B313" s="25" t="s">
        <v>216</v>
      </c>
      <c r="C313" s="25" t="s">
        <v>823</v>
      </c>
      <c r="D313" s="124" t="s">
        <v>66</v>
      </c>
      <c r="E313" s="25"/>
      <c r="F313" s="45">
        <f>F314</f>
        <v>3500</v>
      </c>
    </row>
    <row r="314" spans="1:6" s="32" customFormat="1" x14ac:dyDescent="0.2">
      <c r="A314" s="84" t="s">
        <v>473</v>
      </c>
      <c r="B314" s="30" t="s">
        <v>216</v>
      </c>
      <c r="C314" s="30" t="s">
        <v>823</v>
      </c>
      <c r="D314" s="30" t="s">
        <v>66</v>
      </c>
      <c r="E314" s="30" t="s">
        <v>226</v>
      </c>
      <c r="F314" s="41">
        <f>F315</f>
        <v>3500</v>
      </c>
    </row>
    <row r="315" spans="1:6" s="32" customFormat="1" x14ac:dyDescent="0.2">
      <c r="A315" s="84" t="s">
        <v>227</v>
      </c>
      <c r="B315" s="30" t="s">
        <v>216</v>
      </c>
      <c r="C315" s="30" t="s">
        <v>823</v>
      </c>
      <c r="D315" s="30" t="s">
        <v>66</v>
      </c>
      <c r="E315" s="30" t="s">
        <v>228</v>
      </c>
      <c r="F315" s="41">
        <f>2000+1500</f>
        <v>3500</v>
      </c>
    </row>
    <row r="316" spans="1:6" s="32" customFormat="1" ht="27" x14ac:dyDescent="0.2">
      <c r="A316" s="86" t="s">
        <v>550</v>
      </c>
      <c r="B316" s="53" t="s">
        <v>216</v>
      </c>
      <c r="C316" s="53" t="s">
        <v>823</v>
      </c>
      <c r="D316" s="53" t="s">
        <v>444</v>
      </c>
      <c r="E316" s="53"/>
      <c r="F316" s="57">
        <f>F317+F320+F323+F326</f>
        <v>11702.8</v>
      </c>
    </row>
    <row r="317" spans="1:6" s="32" customFormat="1" x14ac:dyDescent="0.2">
      <c r="A317" s="80" t="s">
        <v>395</v>
      </c>
      <c r="B317" s="24" t="s">
        <v>216</v>
      </c>
      <c r="C317" s="24" t="s">
        <v>823</v>
      </c>
      <c r="D317" s="24" t="s">
        <v>843</v>
      </c>
      <c r="E317" s="24"/>
      <c r="F317" s="42">
        <f>F318</f>
        <v>6800</v>
      </c>
    </row>
    <row r="318" spans="1:6" s="32" customFormat="1" x14ac:dyDescent="0.2">
      <c r="A318" s="84" t="s">
        <v>473</v>
      </c>
      <c r="B318" s="30" t="s">
        <v>216</v>
      </c>
      <c r="C318" s="30" t="s">
        <v>823</v>
      </c>
      <c r="D318" s="30" t="s">
        <v>843</v>
      </c>
      <c r="E318" s="30" t="s">
        <v>226</v>
      </c>
      <c r="F318" s="41">
        <f>F319</f>
        <v>6800</v>
      </c>
    </row>
    <row r="319" spans="1:6" s="32" customFormat="1" x14ac:dyDescent="0.2">
      <c r="A319" s="84" t="s">
        <v>227</v>
      </c>
      <c r="B319" s="30" t="s">
        <v>216</v>
      </c>
      <c r="C319" s="30" t="s">
        <v>823</v>
      </c>
      <c r="D319" s="30" t="s">
        <v>843</v>
      </c>
      <c r="E319" s="30" t="s">
        <v>228</v>
      </c>
      <c r="F319" s="41">
        <f>5500+1000+300</f>
        <v>6800</v>
      </c>
    </row>
    <row r="320" spans="1:6" s="32" customFormat="1" x14ac:dyDescent="0.2">
      <c r="A320" s="80" t="s">
        <v>844</v>
      </c>
      <c r="B320" s="24" t="s">
        <v>216</v>
      </c>
      <c r="C320" s="24" t="s">
        <v>823</v>
      </c>
      <c r="D320" s="24" t="s">
        <v>845</v>
      </c>
      <c r="E320" s="24"/>
      <c r="F320" s="42">
        <f>F321</f>
        <v>2000</v>
      </c>
    </row>
    <row r="321" spans="1:6" s="32" customFormat="1" x14ac:dyDescent="0.2">
      <c r="A321" s="84" t="s">
        <v>473</v>
      </c>
      <c r="B321" s="30" t="s">
        <v>216</v>
      </c>
      <c r="C321" s="30" t="s">
        <v>823</v>
      </c>
      <c r="D321" s="30" t="s">
        <v>845</v>
      </c>
      <c r="E321" s="30" t="s">
        <v>226</v>
      </c>
      <c r="F321" s="41">
        <f>F322</f>
        <v>2000</v>
      </c>
    </row>
    <row r="322" spans="1:6" s="32" customFormat="1" x14ac:dyDescent="0.2">
      <c r="A322" s="84" t="s">
        <v>227</v>
      </c>
      <c r="B322" s="30" t="s">
        <v>216</v>
      </c>
      <c r="C322" s="30" t="s">
        <v>823</v>
      </c>
      <c r="D322" s="30" t="s">
        <v>845</v>
      </c>
      <c r="E322" s="30" t="s">
        <v>228</v>
      </c>
      <c r="F322" s="41">
        <v>2000</v>
      </c>
    </row>
    <row r="323" spans="1:6" s="32" customFormat="1" x14ac:dyDescent="0.2">
      <c r="A323" s="75" t="s">
        <v>286</v>
      </c>
      <c r="B323" s="24" t="s">
        <v>216</v>
      </c>
      <c r="C323" s="24" t="s">
        <v>823</v>
      </c>
      <c r="D323" s="24" t="s">
        <v>846</v>
      </c>
      <c r="E323" s="24"/>
      <c r="F323" s="42">
        <f>F324</f>
        <v>100</v>
      </c>
    </row>
    <row r="324" spans="1:6" s="32" customFormat="1" x14ac:dyDescent="0.2">
      <c r="A324" s="84" t="s">
        <v>473</v>
      </c>
      <c r="B324" s="30" t="s">
        <v>216</v>
      </c>
      <c r="C324" s="30" t="s">
        <v>823</v>
      </c>
      <c r="D324" s="30" t="s">
        <v>846</v>
      </c>
      <c r="E324" s="30" t="s">
        <v>226</v>
      </c>
      <c r="F324" s="41">
        <f>F325</f>
        <v>100</v>
      </c>
    </row>
    <row r="325" spans="1:6" s="32" customFormat="1" x14ac:dyDescent="0.2">
      <c r="A325" s="84" t="s">
        <v>227</v>
      </c>
      <c r="B325" s="30" t="s">
        <v>216</v>
      </c>
      <c r="C325" s="30" t="s">
        <v>823</v>
      </c>
      <c r="D325" s="30" t="s">
        <v>846</v>
      </c>
      <c r="E325" s="30" t="s">
        <v>228</v>
      </c>
      <c r="F325" s="41">
        <v>100</v>
      </c>
    </row>
    <row r="326" spans="1:6" s="32" customFormat="1" x14ac:dyDescent="0.2">
      <c r="A326" s="80" t="s">
        <v>396</v>
      </c>
      <c r="B326" s="24" t="s">
        <v>216</v>
      </c>
      <c r="C326" s="24" t="s">
        <v>823</v>
      </c>
      <c r="D326" s="24" t="s">
        <v>847</v>
      </c>
      <c r="E326" s="24"/>
      <c r="F326" s="138">
        <f>F327</f>
        <v>2802.8</v>
      </c>
    </row>
    <row r="327" spans="1:6" s="32" customFormat="1" x14ac:dyDescent="0.2">
      <c r="A327" s="84" t="s">
        <v>473</v>
      </c>
      <c r="B327" s="30" t="s">
        <v>216</v>
      </c>
      <c r="C327" s="30" t="s">
        <v>823</v>
      </c>
      <c r="D327" s="30" t="s">
        <v>847</v>
      </c>
      <c r="E327" s="30" t="s">
        <v>226</v>
      </c>
      <c r="F327" s="139">
        <f>F328</f>
        <v>2802.8</v>
      </c>
    </row>
    <row r="328" spans="1:6" s="32" customFormat="1" x14ac:dyDescent="0.2">
      <c r="A328" s="84" t="s">
        <v>227</v>
      </c>
      <c r="B328" s="30" t="s">
        <v>216</v>
      </c>
      <c r="C328" s="30" t="s">
        <v>823</v>
      </c>
      <c r="D328" s="30" t="s">
        <v>847</v>
      </c>
      <c r="E328" s="30" t="s">
        <v>228</v>
      </c>
      <c r="F328" s="139">
        <v>2802.8</v>
      </c>
    </row>
    <row r="329" spans="1:6" s="32" customFormat="1" x14ac:dyDescent="0.2">
      <c r="A329" s="81" t="s">
        <v>212</v>
      </c>
      <c r="B329" s="25" t="s">
        <v>216</v>
      </c>
      <c r="C329" s="25" t="s">
        <v>823</v>
      </c>
      <c r="D329" s="25" t="s">
        <v>382</v>
      </c>
      <c r="E329" s="25"/>
      <c r="F329" s="45">
        <f>F330</f>
        <v>20000</v>
      </c>
    </row>
    <row r="330" spans="1:6" s="32" customFormat="1" x14ac:dyDescent="0.2">
      <c r="A330" s="80" t="s">
        <v>476</v>
      </c>
      <c r="B330" s="24" t="s">
        <v>216</v>
      </c>
      <c r="C330" s="24" t="s">
        <v>823</v>
      </c>
      <c r="D330" s="24" t="s">
        <v>383</v>
      </c>
      <c r="E330" s="24"/>
      <c r="F330" s="42">
        <f>F331+F334+F337+F340+F343</f>
        <v>20000</v>
      </c>
    </row>
    <row r="331" spans="1:6" s="32" customFormat="1" ht="24" x14ac:dyDescent="0.2">
      <c r="A331" s="80" t="s">
        <v>33</v>
      </c>
      <c r="B331" s="24" t="s">
        <v>216</v>
      </c>
      <c r="C331" s="24" t="s">
        <v>823</v>
      </c>
      <c r="D331" s="24" t="s">
        <v>37</v>
      </c>
      <c r="E331" s="24"/>
      <c r="F331" s="42">
        <f>F332</f>
        <v>13200</v>
      </c>
    </row>
    <row r="332" spans="1:6" s="32" customFormat="1" x14ac:dyDescent="0.2">
      <c r="A332" s="84" t="s">
        <v>473</v>
      </c>
      <c r="B332" s="30" t="s">
        <v>216</v>
      </c>
      <c r="C332" s="30" t="s">
        <v>823</v>
      </c>
      <c r="D332" s="30" t="s">
        <v>37</v>
      </c>
      <c r="E332" s="31">
        <v>200</v>
      </c>
      <c r="F332" s="41">
        <f>F333</f>
        <v>13200</v>
      </c>
    </row>
    <row r="333" spans="1:6" s="32" customFormat="1" x14ac:dyDescent="0.2">
      <c r="A333" s="84" t="s">
        <v>227</v>
      </c>
      <c r="B333" s="30" t="s">
        <v>216</v>
      </c>
      <c r="C333" s="30" t="s">
        <v>823</v>
      </c>
      <c r="D333" s="30" t="s">
        <v>37</v>
      </c>
      <c r="E333" s="30" t="s">
        <v>228</v>
      </c>
      <c r="F333" s="41">
        <v>13200</v>
      </c>
    </row>
    <row r="334" spans="1:6" s="32" customFormat="1" x14ac:dyDescent="0.2">
      <c r="A334" s="80" t="s">
        <v>34</v>
      </c>
      <c r="B334" s="24" t="s">
        <v>216</v>
      </c>
      <c r="C334" s="24" t="s">
        <v>823</v>
      </c>
      <c r="D334" s="24" t="s">
        <v>38</v>
      </c>
      <c r="E334" s="24"/>
      <c r="F334" s="42">
        <f>F335</f>
        <v>1500</v>
      </c>
    </row>
    <row r="335" spans="1:6" s="32" customFormat="1" x14ac:dyDescent="0.2">
      <c r="A335" s="84" t="s">
        <v>473</v>
      </c>
      <c r="B335" s="30" t="s">
        <v>216</v>
      </c>
      <c r="C335" s="30" t="s">
        <v>823</v>
      </c>
      <c r="D335" s="30" t="s">
        <v>38</v>
      </c>
      <c r="E335" s="31">
        <v>200</v>
      </c>
      <c r="F335" s="41">
        <f>F336</f>
        <v>1500</v>
      </c>
    </row>
    <row r="336" spans="1:6" s="32" customFormat="1" x14ac:dyDescent="0.2">
      <c r="A336" s="84" t="s">
        <v>227</v>
      </c>
      <c r="B336" s="30" t="s">
        <v>216</v>
      </c>
      <c r="C336" s="30" t="s">
        <v>823</v>
      </c>
      <c r="D336" s="30" t="s">
        <v>38</v>
      </c>
      <c r="E336" s="30" t="s">
        <v>228</v>
      </c>
      <c r="F336" s="41">
        <v>1500</v>
      </c>
    </row>
    <row r="337" spans="1:6" s="32" customFormat="1" ht="24" x14ac:dyDescent="0.2">
      <c r="A337" s="80" t="s">
        <v>35</v>
      </c>
      <c r="B337" s="24" t="s">
        <v>216</v>
      </c>
      <c r="C337" s="24" t="s">
        <v>823</v>
      </c>
      <c r="D337" s="24" t="s">
        <v>39</v>
      </c>
      <c r="E337" s="24"/>
      <c r="F337" s="117">
        <f>F338</f>
        <v>4000</v>
      </c>
    </row>
    <row r="338" spans="1:6" s="32" customFormat="1" x14ac:dyDescent="0.2">
      <c r="A338" s="84" t="s">
        <v>473</v>
      </c>
      <c r="B338" s="30" t="s">
        <v>216</v>
      </c>
      <c r="C338" s="30" t="s">
        <v>823</v>
      </c>
      <c r="D338" s="30" t="s">
        <v>39</v>
      </c>
      <c r="E338" s="31">
        <v>200</v>
      </c>
      <c r="F338" s="118">
        <f>F339</f>
        <v>4000</v>
      </c>
    </row>
    <row r="339" spans="1:6" s="32" customFormat="1" x14ac:dyDescent="0.2">
      <c r="A339" s="84" t="s">
        <v>227</v>
      </c>
      <c r="B339" s="30" t="s">
        <v>216</v>
      </c>
      <c r="C339" s="30" t="s">
        <v>823</v>
      </c>
      <c r="D339" s="30" t="s">
        <v>39</v>
      </c>
      <c r="E339" s="30" t="s">
        <v>228</v>
      </c>
      <c r="F339" s="118">
        <v>4000</v>
      </c>
    </row>
    <row r="340" spans="1:6" s="32" customFormat="1" ht="24" x14ac:dyDescent="0.2">
      <c r="A340" s="80" t="s">
        <v>36</v>
      </c>
      <c r="B340" s="24" t="s">
        <v>216</v>
      </c>
      <c r="C340" s="24" t="s">
        <v>823</v>
      </c>
      <c r="D340" s="24" t="s">
        <v>544</v>
      </c>
      <c r="E340" s="24"/>
      <c r="F340" s="117">
        <f>F341</f>
        <v>300</v>
      </c>
    </row>
    <row r="341" spans="1:6" s="32" customFormat="1" x14ac:dyDescent="0.2">
      <c r="A341" s="84" t="s">
        <v>473</v>
      </c>
      <c r="B341" s="30" t="s">
        <v>216</v>
      </c>
      <c r="C341" s="30" t="s">
        <v>823</v>
      </c>
      <c r="D341" s="30" t="s">
        <v>544</v>
      </c>
      <c r="E341" s="31">
        <v>200</v>
      </c>
      <c r="F341" s="118">
        <f>F342</f>
        <v>300</v>
      </c>
    </row>
    <row r="342" spans="1:6" s="32" customFormat="1" x14ac:dyDescent="0.2">
      <c r="A342" s="84" t="s">
        <v>227</v>
      </c>
      <c r="B342" s="30" t="s">
        <v>216</v>
      </c>
      <c r="C342" s="30" t="s">
        <v>823</v>
      </c>
      <c r="D342" s="30" t="s">
        <v>544</v>
      </c>
      <c r="E342" s="30" t="s">
        <v>228</v>
      </c>
      <c r="F342" s="118">
        <v>300</v>
      </c>
    </row>
    <row r="343" spans="1:6" s="32" customFormat="1" x14ac:dyDescent="0.2">
      <c r="A343" s="80" t="s">
        <v>554</v>
      </c>
      <c r="B343" s="24" t="s">
        <v>216</v>
      </c>
      <c r="C343" s="24" t="s">
        <v>823</v>
      </c>
      <c r="D343" s="24" t="s">
        <v>270</v>
      </c>
      <c r="E343" s="24"/>
      <c r="F343" s="42">
        <f>F344</f>
        <v>1000</v>
      </c>
    </row>
    <row r="344" spans="1:6" s="32" customFormat="1" x14ac:dyDescent="0.2">
      <c r="A344" s="84" t="s">
        <v>473</v>
      </c>
      <c r="B344" s="30" t="s">
        <v>216</v>
      </c>
      <c r="C344" s="30" t="s">
        <v>823</v>
      </c>
      <c r="D344" s="30" t="s">
        <v>270</v>
      </c>
      <c r="E344" s="31">
        <v>200</v>
      </c>
      <c r="F344" s="41">
        <f>F345</f>
        <v>1000</v>
      </c>
    </row>
    <row r="345" spans="1:6" s="32" customFormat="1" x14ac:dyDescent="0.2">
      <c r="A345" s="84" t="s">
        <v>227</v>
      </c>
      <c r="B345" s="30" t="s">
        <v>216</v>
      </c>
      <c r="C345" s="30" t="s">
        <v>823</v>
      </c>
      <c r="D345" s="30" t="s">
        <v>270</v>
      </c>
      <c r="E345" s="30" t="s">
        <v>228</v>
      </c>
      <c r="F345" s="41">
        <v>1000</v>
      </c>
    </row>
    <row r="346" spans="1:6" s="49" customFormat="1" x14ac:dyDescent="0.2">
      <c r="A346" s="80" t="s">
        <v>667</v>
      </c>
      <c r="B346" s="24" t="s">
        <v>731</v>
      </c>
      <c r="C346" s="24" t="s">
        <v>215</v>
      </c>
      <c r="D346" s="24"/>
      <c r="E346" s="37"/>
      <c r="F346" s="117">
        <f>F347+F383+F418+F483</f>
        <v>937481.93166999996</v>
      </c>
    </row>
    <row r="347" spans="1:6" s="50" customFormat="1" x14ac:dyDescent="0.2">
      <c r="A347" s="80" t="s">
        <v>668</v>
      </c>
      <c r="B347" s="24" t="s">
        <v>731</v>
      </c>
      <c r="C347" s="24" t="s">
        <v>214</v>
      </c>
      <c r="D347" s="25"/>
      <c r="E347" s="25"/>
      <c r="F347" s="42">
        <f>F348+F367</f>
        <v>145248.95079</v>
      </c>
    </row>
    <row r="348" spans="1:6" s="50" customFormat="1" ht="27" x14ac:dyDescent="0.2">
      <c r="A348" s="86" t="s">
        <v>65</v>
      </c>
      <c r="B348" s="53" t="s">
        <v>731</v>
      </c>
      <c r="C348" s="53" t="s">
        <v>214</v>
      </c>
      <c r="D348" s="53" t="s">
        <v>410</v>
      </c>
      <c r="E348" s="25"/>
      <c r="F348" s="57">
        <f>F349+F353+F360</f>
        <v>59205</v>
      </c>
    </row>
    <row r="349" spans="1:6" s="50" customFormat="1" x14ac:dyDescent="0.2">
      <c r="A349" s="80" t="s">
        <v>197</v>
      </c>
      <c r="B349" s="24" t="s">
        <v>731</v>
      </c>
      <c r="C349" s="24" t="s">
        <v>214</v>
      </c>
      <c r="D349" s="24" t="s">
        <v>413</v>
      </c>
      <c r="E349" s="24"/>
      <c r="F349" s="42">
        <f>F350</f>
        <v>7000</v>
      </c>
    </row>
    <row r="350" spans="1:6" s="50" customFormat="1" x14ac:dyDescent="0.2">
      <c r="A350" s="123" t="s">
        <v>414</v>
      </c>
      <c r="B350" s="25" t="s">
        <v>731</v>
      </c>
      <c r="C350" s="25" t="s">
        <v>214</v>
      </c>
      <c r="D350" s="124" t="s">
        <v>67</v>
      </c>
      <c r="E350" s="25"/>
      <c r="F350" s="45">
        <f>F351</f>
        <v>7000</v>
      </c>
    </row>
    <row r="351" spans="1:6" s="50" customFormat="1" x14ac:dyDescent="0.2">
      <c r="A351" s="84" t="s">
        <v>473</v>
      </c>
      <c r="B351" s="30" t="s">
        <v>731</v>
      </c>
      <c r="C351" s="30" t="s">
        <v>214</v>
      </c>
      <c r="D351" s="30" t="s">
        <v>67</v>
      </c>
      <c r="E351" s="30" t="s">
        <v>226</v>
      </c>
      <c r="F351" s="41">
        <f>F352</f>
        <v>7000</v>
      </c>
    </row>
    <row r="352" spans="1:6" s="50" customFormat="1" x14ac:dyDescent="0.2">
      <c r="A352" s="84" t="s">
        <v>227</v>
      </c>
      <c r="B352" s="30" t="s">
        <v>731</v>
      </c>
      <c r="C352" s="30" t="s">
        <v>214</v>
      </c>
      <c r="D352" s="30" t="s">
        <v>67</v>
      </c>
      <c r="E352" s="30" t="s">
        <v>228</v>
      </c>
      <c r="F352" s="41">
        <v>7000</v>
      </c>
    </row>
    <row r="353" spans="1:6" s="50" customFormat="1" x14ac:dyDescent="0.2">
      <c r="A353" s="80" t="s">
        <v>307</v>
      </c>
      <c r="B353" s="24" t="s">
        <v>731</v>
      </c>
      <c r="C353" s="24" t="s">
        <v>214</v>
      </c>
      <c r="D353" s="24" t="s">
        <v>276</v>
      </c>
      <c r="E353" s="30"/>
      <c r="F353" s="42">
        <f>F354+F357</f>
        <v>44005</v>
      </c>
    </row>
    <row r="354" spans="1:6" s="50" customFormat="1" ht="24" x14ac:dyDescent="0.2">
      <c r="A354" s="83" t="s">
        <v>757</v>
      </c>
      <c r="B354" s="25" t="s">
        <v>731</v>
      </c>
      <c r="C354" s="25" t="s">
        <v>214</v>
      </c>
      <c r="D354" s="25" t="s">
        <v>73</v>
      </c>
      <c r="E354" s="25"/>
      <c r="F354" s="45">
        <f>F355</f>
        <v>38995</v>
      </c>
    </row>
    <row r="355" spans="1:6" s="50" customFormat="1" x14ac:dyDescent="0.2">
      <c r="A355" s="84" t="s">
        <v>246</v>
      </c>
      <c r="B355" s="30" t="s">
        <v>731</v>
      </c>
      <c r="C355" s="30" t="s">
        <v>214</v>
      </c>
      <c r="D355" s="30" t="s">
        <v>73</v>
      </c>
      <c r="E355" s="30" t="s">
        <v>702</v>
      </c>
      <c r="F355" s="41">
        <f>F356</f>
        <v>38995</v>
      </c>
    </row>
    <row r="356" spans="1:6" s="50" customFormat="1" x14ac:dyDescent="0.2">
      <c r="A356" s="84" t="s">
        <v>290</v>
      </c>
      <c r="B356" s="30" t="s">
        <v>731</v>
      </c>
      <c r="C356" s="30" t="s">
        <v>214</v>
      </c>
      <c r="D356" s="30" t="s">
        <v>73</v>
      </c>
      <c r="E356" s="30" t="s">
        <v>794</v>
      </c>
      <c r="F356" s="41">
        <f>10495+30000-1500</f>
        <v>38995</v>
      </c>
    </row>
    <row r="357" spans="1:6" s="50" customFormat="1" x14ac:dyDescent="0.2">
      <c r="A357" s="83" t="s">
        <v>319</v>
      </c>
      <c r="B357" s="25" t="s">
        <v>731</v>
      </c>
      <c r="C357" s="25" t="s">
        <v>214</v>
      </c>
      <c r="D357" s="25" t="s">
        <v>72</v>
      </c>
      <c r="E357" s="25"/>
      <c r="F357" s="122">
        <f>F358</f>
        <v>5010</v>
      </c>
    </row>
    <row r="358" spans="1:6" s="50" customFormat="1" x14ac:dyDescent="0.2">
      <c r="A358" s="84" t="s">
        <v>473</v>
      </c>
      <c r="B358" s="30" t="s">
        <v>731</v>
      </c>
      <c r="C358" s="30" t="s">
        <v>214</v>
      </c>
      <c r="D358" s="30" t="s">
        <v>72</v>
      </c>
      <c r="E358" s="30" t="s">
        <v>226</v>
      </c>
      <c r="F358" s="118">
        <f>F359</f>
        <v>5010</v>
      </c>
    </row>
    <row r="359" spans="1:6" s="50" customFormat="1" x14ac:dyDescent="0.2">
      <c r="A359" s="84" t="s">
        <v>227</v>
      </c>
      <c r="B359" s="30" t="s">
        <v>731</v>
      </c>
      <c r="C359" s="30" t="s">
        <v>214</v>
      </c>
      <c r="D359" s="30" t="s">
        <v>72</v>
      </c>
      <c r="E359" s="30" t="s">
        <v>228</v>
      </c>
      <c r="F359" s="118">
        <f>2510+2500</f>
        <v>5010</v>
      </c>
    </row>
    <row r="360" spans="1:6" s="50" customFormat="1" x14ac:dyDescent="0.2">
      <c r="A360" s="80" t="s">
        <v>68</v>
      </c>
      <c r="B360" s="24" t="s">
        <v>731</v>
      </c>
      <c r="C360" s="24" t="s">
        <v>214</v>
      </c>
      <c r="D360" s="24" t="s">
        <v>69</v>
      </c>
      <c r="E360" s="30"/>
      <c r="F360" s="42">
        <f>F361+F364</f>
        <v>8200</v>
      </c>
    </row>
    <row r="361" spans="1:6" s="50" customFormat="1" ht="24" x14ac:dyDescent="0.2">
      <c r="A361" s="127" t="s">
        <v>852</v>
      </c>
      <c r="B361" s="25" t="s">
        <v>731</v>
      </c>
      <c r="C361" s="25" t="s">
        <v>214</v>
      </c>
      <c r="D361" s="25" t="s">
        <v>70</v>
      </c>
      <c r="E361" s="25"/>
      <c r="F361" s="45">
        <f>F362</f>
        <v>700</v>
      </c>
    </row>
    <row r="362" spans="1:6" s="50" customFormat="1" x14ac:dyDescent="0.2">
      <c r="A362" s="84" t="s">
        <v>473</v>
      </c>
      <c r="B362" s="30" t="s">
        <v>731</v>
      </c>
      <c r="C362" s="30" t="s">
        <v>214</v>
      </c>
      <c r="D362" s="30" t="s">
        <v>70</v>
      </c>
      <c r="E362" s="30" t="s">
        <v>226</v>
      </c>
      <c r="F362" s="41">
        <f>F363</f>
        <v>700</v>
      </c>
    </row>
    <row r="363" spans="1:6" s="50" customFormat="1" x14ac:dyDescent="0.2">
      <c r="A363" s="84" t="s">
        <v>227</v>
      </c>
      <c r="B363" s="30" t="s">
        <v>731</v>
      </c>
      <c r="C363" s="30" t="s">
        <v>214</v>
      </c>
      <c r="D363" s="30" t="s">
        <v>70</v>
      </c>
      <c r="E363" s="30" t="s">
        <v>228</v>
      </c>
      <c r="F363" s="41">
        <f>200+500</f>
        <v>700</v>
      </c>
    </row>
    <row r="364" spans="1:6" s="50" customFormat="1" x14ac:dyDescent="0.2">
      <c r="A364" s="123" t="s">
        <v>415</v>
      </c>
      <c r="B364" s="25" t="s">
        <v>731</v>
      </c>
      <c r="C364" s="25" t="s">
        <v>214</v>
      </c>
      <c r="D364" s="124" t="s">
        <v>71</v>
      </c>
      <c r="E364" s="25"/>
      <c r="F364" s="45">
        <f>F365</f>
        <v>7500</v>
      </c>
    </row>
    <row r="365" spans="1:6" s="50" customFormat="1" x14ac:dyDescent="0.2">
      <c r="A365" s="84" t="s">
        <v>473</v>
      </c>
      <c r="B365" s="30" t="s">
        <v>731</v>
      </c>
      <c r="C365" s="30" t="s">
        <v>214</v>
      </c>
      <c r="D365" s="30" t="s">
        <v>71</v>
      </c>
      <c r="E365" s="30" t="s">
        <v>226</v>
      </c>
      <c r="F365" s="41">
        <f>F366</f>
        <v>7500</v>
      </c>
    </row>
    <row r="366" spans="1:6" s="50" customFormat="1" x14ac:dyDescent="0.2">
      <c r="A366" s="84" t="s">
        <v>227</v>
      </c>
      <c r="B366" s="30" t="s">
        <v>731</v>
      </c>
      <c r="C366" s="30" t="s">
        <v>214</v>
      </c>
      <c r="D366" s="30" t="s">
        <v>71</v>
      </c>
      <c r="E366" s="30" t="s">
        <v>228</v>
      </c>
      <c r="F366" s="41">
        <f>1000+6500</f>
        <v>7500</v>
      </c>
    </row>
    <row r="367" spans="1:6" s="50" customFormat="1" ht="27" x14ac:dyDescent="0.2">
      <c r="A367" s="86" t="s">
        <v>549</v>
      </c>
      <c r="B367" s="53" t="s">
        <v>731</v>
      </c>
      <c r="C367" s="53" t="s">
        <v>214</v>
      </c>
      <c r="D367" s="53" t="s">
        <v>444</v>
      </c>
      <c r="E367" s="53"/>
      <c r="F367" s="57">
        <f>F377+F380+F374+F368+F371</f>
        <v>86043.950790000003</v>
      </c>
    </row>
    <row r="368" spans="1:6" s="50" customFormat="1" ht="54" x14ac:dyDescent="0.2">
      <c r="A368" s="170" t="s">
        <v>638</v>
      </c>
      <c r="B368" s="53" t="s">
        <v>731</v>
      </c>
      <c r="C368" s="53" t="s">
        <v>214</v>
      </c>
      <c r="D368" s="53" t="s">
        <v>635</v>
      </c>
      <c r="E368" s="53"/>
      <c r="F368" s="57">
        <f>F369</f>
        <v>65994.8</v>
      </c>
    </row>
    <row r="369" spans="1:6" s="50" customFormat="1" x14ac:dyDescent="0.2">
      <c r="A369" s="84" t="s">
        <v>394</v>
      </c>
      <c r="B369" s="30" t="s">
        <v>731</v>
      </c>
      <c r="C369" s="30" t="s">
        <v>214</v>
      </c>
      <c r="D369" s="30" t="s">
        <v>635</v>
      </c>
      <c r="E369" s="30" t="s">
        <v>733</v>
      </c>
      <c r="F369" s="41">
        <f>F370</f>
        <v>65994.8</v>
      </c>
    </row>
    <row r="370" spans="1:6" s="50" customFormat="1" x14ac:dyDescent="0.2">
      <c r="A370" s="84" t="s">
        <v>734</v>
      </c>
      <c r="B370" s="30" t="s">
        <v>731</v>
      </c>
      <c r="C370" s="30" t="s">
        <v>214</v>
      </c>
      <c r="D370" s="30" t="s">
        <v>635</v>
      </c>
      <c r="E370" s="30" t="s">
        <v>735</v>
      </c>
      <c r="F370" s="41">
        <f>19798.44+46196.36</f>
        <v>65994.8</v>
      </c>
    </row>
    <row r="371" spans="1:6" s="50" customFormat="1" ht="40.5" x14ac:dyDescent="0.2">
      <c r="A371" s="86" t="s">
        <v>636</v>
      </c>
      <c r="B371" s="53" t="s">
        <v>731</v>
      </c>
      <c r="C371" s="53" t="s">
        <v>214</v>
      </c>
      <c r="D371" s="53" t="s">
        <v>637</v>
      </c>
      <c r="E371" s="53"/>
      <c r="F371" s="57">
        <f>F372</f>
        <v>3449.1507900000001</v>
      </c>
    </row>
    <row r="372" spans="1:6" s="50" customFormat="1" x14ac:dyDescent="0.2">
      <c r="A372" s="84" t="s">
        <v>394</v>
      </c>
      <c r="B372" s="30" t="s">
        <v>731</v>
      </c>
      <c r="C372" s="30" t="s">
        <v>214</v>
      </c>
      <c r="D372" s="30" t="s">
        <v>637</v>
      </c>
      <c r="E372" s="30" t="s">
        <v>733</v>
      </c>
      <c r="F372" s="41">
        <f>F373</f>
        <v>3449.1507900000001</v>
      </c>
    </row>
    <row r="373" spans="1:6" s="50" customFormat="1" x14ac:dyDescent="0.2">
      <c r="A373" s="84" t="s">
        <v>734</v>
      </c>
      <c r="B373" s="30" t="s">
        <v>731</v>
      </c>
      <c r="C373" s="30" t="s">
        <v>214</v>
      </c>
      <c r="D373" s="30" t="s">
        <v>637</v>
      </c>
      <c r="E373" s="30" t="s">
        <v>735</v>
      </c>
      <c r="F373" s="41">
        <f>700+2749.15079</f>
        <v>3449.1507900000001</v>
      </c>
    </row>
    <row r="374" spans="1:6" s="50" customFormat="1" ht="24" x14ac:dyDescent="0.2">
      <c r="A374" s="80" t="s">
        <v>613</v>
      </c>
      <c r="B374" s="24" t="s">
        <v>731</v>
      </c>
      <c r="C374" s="24" t="s">
        <v>214</v>
      </c>
      <c r="D374" s="24" t="s">
        <v>614</v>
      </c>
      <c r="E374" s="24"/>
      <c r="F374" s="42">
        <f>F375</f>
        <v>8000</v>
      </c>
    </row>
    <row r="375" spans="1:6" s="50" customFormat="1" x14ac:dyDescent="0.2">
      <c r="A375" s="84" t="s">
        <v>394</v>
      </c>
      <c r="B375" s="30" t="s">
        <v>731</v>
      </c>
      <c r="C375" s="30" t="s">
        <v>214</v>
      </c>
      <c r="D375" s="30" t="s">
        <v>614</v>
      </c>
      <c r="E375" s="30" t="s">
        <v>733</v>
      </c>
      <c r="F375" s="41">
        <f>F376</f>
        <v>8000</v>
      </c>
    </row>
    <row r="376" spans="1:6" s="50" customFormat="1" x14ac:dyDescent="0.2">
      <c r="A376" s="84" t="s">
        <v>734</v>
      </c>
      <c r="B376" s="30" t="s">
        <v>731</v>
      </c>
      <c r="C376" s="30" t="s">
        <v>214</v>
      </c>
      <c r="D376" s="30" t="s">
        <v>614</v>
      </c>
      <c r="E376" s="30" t="s">
        <v>735</v>
      </c>
      <c r="F376" s="41">
        <f>4700+3300</f>
        <v>8000</v>
      </c>
    </row>
    <row r="377" spans="1:6" s="50" customFormat="1" ht="24" x14ac:dyDescent="0.2">
      <c r="A377" s="80" t="s">
        <v>848</v>
      </c>
      <c r="B377" s="24" t="s">
        <v>731</v>
      </c>
      <c r="C377" s="24" t="s">
        <v>214</v>
      </c>
      <c r="D377" s="24" t="s">
        <v>849</v>
      </c>
      <c r="E377" s="24"/>
      <c r="F377" s="117">
        <f>F378</f>
        <v>1000</v>
      </c>
    </row>
    <row r="378" spans="1:6" s="50" customFormat="1" x14ac:dyDescent="0.2">
      <c r="A378" s="84" t="s">
        <v>473</v>
      </c>
      <c r="B378" s="30" t="s">
        <v>731</v>
      </c>
      <c r="C378" s="30" t="s">
        <v>214</v>
      </c>
      <c r="D378" s="30" t="s">
        <v>849</v>
      </c>
      <c r="E378" s="30" t="s">
        <v>226</v>
      </c>
      <c r="F378" s="118">
        <f>F379</f>
        <v>1000</v>
      </c>
    </row>
    <row r="379" spans="1:6" s="50" customFormat="1" x14ac:dyDescent="0.2">
      <c r="A379" s="84" t="s">
        <v>227</v>
      </c>
      <c r="B379" s="30" t="s">
        <v>731</v>
      </c>
      <c r="C379" s="30" t="s">
        <v>214</v>
      </c>
      <c r="D379" s="30" t="s">
        <v>849</v>
      </c>
      <c r="E379" s="30" t="s">
        <v>228</v>
      </c>
      <c r="F379" s="118">
        <v>1000</v>
      </c>
    </row>
    <row r="380" spans="1:6" s="50" customFormat="1" x14ac:dyDescent="0.2">
      <c r="A380" s="75" t="s">
        <v>286</v>
      </c>
      <c r="B380" s="24" t="s">
        <v>731</v>
      </c>
      <c r="C380" s="24" t="s">
        <v>214</v>
      </c>
      <c r="D380" s="24" t="s">
        <v>846</v>
      </c>
      <c r="E380" s="30"/>
      <c r="F380" s="117">
        <f>F381</f>
        <v>7600</v>
      </c>
    </row>
    <row r="381" spans="1:6" s="50" customFormat="1" x14ac:dyDescent="0.2">
      <c r="A381" s="84" t="s">
        <v>394</v>
      </c>
      <c r="B381" s="30" t="s">
        <v>731</v>
      </c>
      <c r="C381" s="30" t="s">
        <v>214</v>
      </c>
      <c r="D381" s="30" t="s">
        <v>846</v>
      </c>
      <c r="E381" s="30" t="s">
        <v>733</v>
      </c>
      <c r="F381" s="118">
        <f>F382</f>
        <v>7600</v>
      </c>
    </row>
    <row r="382" spans="1:6" s="50" customFormat="1" x14ac:dyDescent="0.2">
      <c r="A382" s="84" t="s">
        <v>734</v>
      </c>
      <c r="B382" s="30" t="s">
        <v>731</v>
      </c>
      <c r="C382" s="30" t="s">
        <v>214</v>
      </c>
      <c r="D382" s="30" t="s">
        <v>846</v>
      </c>
      <c r="E382" s="30" t="s">
        <v>735</v>
      </c>
      <c r="F382" s="118">
        <f>3500+700+2900+500</f>
        <v>7600</v>
      </c>
    </row>
    <row r="383" spans="1:6" s="50" customFormat="1" x14ac:dyDescent="0.2">
      <c r="A383" s="80" t="s">
        <v>669</v>
      </c>
      <c r="B383" s="24" t="s">
        <v>731</v>
      </c>
      <c r="C383" s="24" t="s">
        <v>825</v>
      </c>
      <c r="D383" s="30"/>
      <c r="E383" s="30"/>
      <c r="F383" s="117">
        <f>F384</f>
        <v>80814.537479999999</v>
      </c>
    </row>
    <row r="384" spans="1:6" s="50" customFormat="1" x14ac:dyDescent="0.2">
      <c r="A384" s="83" t="s">
        <v>670</v>
      </c>
      <c r="B384" s="25" t="s">
        <v>731</v>
      </c>
      <c r="C384" s="25" t="s">
        <v>825</v>
      </c>
      <c r="D384" s="30"/>
      <c r="E384" s="30"/>
      <c r="F384" s="122">
        <f>F385+F405</f>
        <v>80814.537479999999</v>
      </c>
    </row>
    <row r="385" spans="1:6" s="50" customFormat="1" ht="27" x14ac:dyDescent="0.2">
      <c r="A385" s="86" t="s">
        <v>65</v>
      </c>
      <c r="B385" s="53" t="s">
        <v>731</v>
      </c>
      <c r="C385" s="53" t="s">
        <v>825</v>
      </c>
      <c r="D385" s="53" t="s">
        <v>410</v>
      </c>
      <c r="E385" s="25"/>
      <c r="F385" s="57">
        <f>F386+F396+F402</f>
        <v>63200</v>
      </c>
    </row>
    <row r="386" spans="1:6" s="50" customFormat="1" ht="27" x14ac:dyDescent="0.2">
      <c r="A386" s="86" t="s">
        <v>274</v>
      </c>
      <c r="B386" s="53" t="s">
        <v>731</v>
      </c>
      <c r="C386" s="53" t="s">
        <v>825</v>
      </c>
      <c r="D386" s="53" t="s">
        <v>416</v>
      </c>
      <c r="E386" s="25"/>
      <c r="F386" s="57">
        <f>F387+F390+F393</f>
        <v>3000</v>
      </c>
    </row>
    <row r="387" spans="1:6" s="50" customFormat="1" x14ac:dyDescent="0.2">
      <c r="A387" s="80" t="s">
        <v>587</v>
      </c>
      <c r="B387" s="24" t="s">
        <v>731</v>
      </c>
      <c r="C387" s="24" t="s">
        <v>825</v>
      </c>
      <c r="D387" s="24" t="s">
        <v>588</v>
      </c>
      <c r="E387" s="30"/>
      <c r="F387" s="117">
        <f>F388</f>
        <v>1100</v>
      </c>
    </row>
    <row r="388" spans="1:6" s="50" customFormat="1" x14ac:dyDescent="0.2">
      <c r="A388" s="84" t="s">
        <v>732</v>
      </c>
      <c r="B388" s="52" t="s">
        <v>731</v>
      </c>
      <c r="C388" s="52" t="s">
        <v>825</v>
      </c>
      <c r="D388" s="30" t="s">
        <v>588</v>
      </c>
      <c r="E388" s="30" t="s">
        <v>733</v>
      </c>
      <c r="F388" s="118">
        <f>F389</f>
        <v>1100</v>
      </c>
    </row>
    <row r="389" spans="1:6" s="50" customFormat="1" x14ac:dyDescent="0.2">
      <c r="A389" s="84" t="s">
        <v>734</v>
      </c>
      <c r="B389" s="30" t="s">
        <v>731</v>
      </c>
      <c r="C389" s="30" t="s">
        <v>825</v>
      </c>
      <c r="D389" s="30" t="s">
        <v>588</v>
      </c>
      <c r="E389" s="30" t="s">
        <v>735</v>
      </c>
      <c r="F389" s="118">
        <v>1100</v>
      </c>
    </row>
    <row r="390" spans="1:6" s="50" customFormat="1" ht="24" x14ac:dyDescent="0.2">
      <c r="A390" s="80" t="s">
        <v>717</v>
      </c>
      <c r="B390" s="24" t="s">
        <v>731</v>
      </c>
      <c r="C390" s="24" t="s">
        <v>825</v>
      </c>
      <c r="D390" s="24" t="s">
        <v>76</v>
      </c>
      <c r="E390" s="24"/>
      <c r="F390" s="117">
        <f>F391</f>
        <v>1900</v>
      </c>
    </row>
    <row r="391" spans="1:6" s="50" customFormat="1" x14ac:dyDescent="0.2">
      <c r="A391" s="84" t="s">
        <v>473</v>
      </c>
      <c r="B391" s="30" t="s">
        <v>731</v>
      </c>
      <c r="C391" s="30" t="s">
        <v>825</v>
      </c>
      <c r="D391" s="30" t="s">
        <v>76</v>
      </c>
      <c r="E391" s="30" t="s">
        <v>226</v>
      </c>
      <c r="F391" s="118">
        <f>F392</f>
        <v>1900</v>
      </c>
    </row>
    <row r="392" spans="1:6" s="50" customFormat="1" x14ac:dyDescent="0.2">
      <c r="A392" s="84" t="s">
        <v>227</v>
      </c>
      <c r="B392" s="30" t="s">
        <v>731</v>
      </c>
      <c r="C392" s="30" t="s">
        <v>825</v>
      </c>
      <c r="D392" s="30" t="s">
        <v>76</v>
      </c>
      <c r="E392" s="30" t="s">
        <v>228</v>
      </c>
      <c r="F392" s="118">
        <f>1000+900</f>
        <v>1900</v>
      </c>
    </row>
    <row r="393" spans="1:6" s="50" customFormat="1" x14ac:dyDescent="0.2">
      <c r="A393" s="80" t="s">
        <v>77</v>
      </c>
      <c r="B393" s="24" t="s">
        <v>731</v>
      </c>
      <c r="C393" s="24" t="s">
        <v>825</v>
      </c>
      <c r="D393" s="24" t="s">
        <v>78</v>
      </c>
      <c r="E393" s="24"/>
      <c r="F393" s="117">
        <f>F394</f>
        <v>0</v>
      </c>
    </row>
    <row r="394" spans="1:6" s="50" customFormat="1" x14ac:dyDescent="0.2">
      <c r="A394" s="84" t="s">
        <v>473</v>
      </c>
      <c r="B394" s="30" t="s">
        <v>731</v>
      </c>
      <c r="C394" s="30" t="s">
        <v>825</v>
      </c>
      <c r="D394" s="30" t="s">
        <v>78</v>
      </c>
      <c r="E394" s="30" t="s">
        <v>226</v>
      </c>
      <c r="F394" s="118">
        <f>F395</f>
        <v>0</v>
      </c>
    </row>
    <row r="395" spans="1:6" s="50" customFormat="1" x14ac:dyDescent="0.2">
      <c r="A395" s="84" t="s">
        <v>227</v>
      </c>
      <c r="B395" s="30" t="s">
        <v>731</v>
      </c>
      <c r="C395" s="30" t="s">
        <v>825</v>
      </c>
      <c r="D395" s="30" t="s">
        <v>78</v>
      </c>
      <c r="E395" s="30" t="s">
        <v>228</v>
      </c>
      <c r="F395" s="118">
        <f>1000-900-100</f>
        <v>0</v>
      </c>
    </row>
    <row r="396" spans="1:6" s="50" customFormat="1" ht="24" x14ac:dyDescent="0.2">
      <c r="A396" s="80" t="s">
        <v>719</v>
      </c>
      <c r="B396" s="24" t="s">
        <v>731</v>
      </c>
      <c r="C396" s="24" t="s">
        <v>825</v>
      </c>
      <c r="D396" s="24" t="s">
        <v>308</v>
      </c>
      <c r="E396" s="30"/>
      <c r="F396" s="42">
        <f>F397</f>
        <v>59700</v>
      </c>
    </row>
    <row r="397" spans="1:6" s="50" customFormat="1" ht="24" x14ac:dyDescent="0.2">
      <c r="A397" s="83" t="s">
        <v>720</v>
      </c>
      <c r="B397" s="25" t="s">
        <v>731</v>
      </c>
      <c r="C397" s="25" t="s">
        <v>825</v>
      </c>
      <c r="D397" s="25" t="s">
        <v>74</v>
      </c>
      <c r="E397" s="33"/>
      <c r="F397" s="45">
        <f>F398+F400</f>
        <v>59700</v>
      </c>
    </row>
    <row r="398" spans="1:6" s="50" customFormat="1" x14ac:dyDescent="0.2">
      <c r="A398" s="84" t="s">
        <v>473</v>
      </c>
      <c r="B398" s="30" t="s">
        <v>731</v>
      </c>
      <c r="C398" s="30" t="s">
        <v>825</v>
      </c>
      <c r="D398" s="30" t="s">
        <v>74</v>
      </c>
      <c r="E398" s="30" t="s">
        <v>226</v>
      </c>
      <c r="F398" s="41">
        <f>F399</f>
        <v>15260</v>
      </c>
    </row>
    <row r="399" spans="1:6" s="50" customFormat="1" x14ac:dyDescent="0.2">
      <c r="A399" s="84" t="s">
        <v>227</v>
      </c>
      <c r="B399" s="30" t="s">
        <v>731</v>
      </c>
      <c r="C399" s="30" t="s">
        <v>825</v>
      </c>
      <c r="D399" s="30" t="s">
        <v>74</v>
      </c>
      <c r="E399" s="30" t="s">
        <v>228</v>
      </c>
      <c r="F399" s="41">
        <f>3000+500+4760+7000</f>
        <v>15260</v>
      </c>
    </row>
    <row r="400" spans="1:6" s="50" customFormat="1" x14ac:dyDescent="0.2">
      <c r="A400" s="84" t="s">
        <v>732</v>
      </c>
      <c r="B400" s="52" t="s">
        <v>731</v>
      </c>
      <c r="C400" s="52" t="s">
        <v>825</v>
      </c>
      <c r="D400" s="30" t="s">
        <v>74</v>
      </c>
      <c r="E400" s="30" t="s">
        <v>733</v>
      </c>
      <c r="F400" s="41">
        <f>F401</f>
        <v>44440</v>
      </c>
    </row>
    <row r="401" spans="1:6" s="50" customFormat="1" x14ac:dyDescent="0.2">
      <c r="A401" s="84" t="s">
        <v>734</v>
      </c>
      <c r="B401" s="30" t="s">
        <v>731</v>
      </c>
      <c r="C401" s="30" t="s">
        <v>825</v>
      </c>
      <c r="D401" s="30" t="s">
        <v>74</v>
      </c>
      <c r="E401" s="30" t="s">
        <v>735</v>
      </c>
      <c r="F401" s="41">
        <f>40600+8600-4760</f>
        <v>44440</v>
      </c>
    </row>
    <row r="402" spans="1:6" s="50" customFormat="1" x14ac:dyDescent="0.2">
      <c r="A402" s="80" t="s">
        <v>309</v>
      </c>
      <c r="B402" s="24" t="s">
        <v>731</v>
      </c>
      <c r="C402" s="24" t="s">
        <v>825</v>
      </c>
      <c r="D402" s="24" t="s">
        <v>75</v>
      </c>
      <c r="E402" s="24"/>
      <c r="F402" s="42">
        <f>F403</f>
        <v>500</v>
      </c>
    </row>
    <row r="403" spans="1:6" s="50" customFormat="1" x14ac:dyDescent="0.2">
      <c r="A403" s="84" t="s">
        <v>473</v>
      </c>
      <c r="B403" s="30" t="s">
        <v>731</v>
      </c>
      <c r="C403" s="30" t="s">
        <v>825</v>
      </c>
      <c r="D403" s="30" t="s">
        <v>75</v>
      </c>
      <c r="E403" s="30" t="s">
        <v>226</v>
      </c>
      <c r="F403" s="41">
        <f>F404</f>
        <v>500</v>
      </c>
    </row>
    <row r="404" spans="1:6" s="50" customFormat="1" x14ac:dyDescent="0.2">
      <c r="A404" s="84" t="s">
        <v>227</v>
      </c>
      <c r="B404" s="30" t="s">
        <v>731</v>
      </c>
      <c r="C404" s="30" t="s">
        <v>825</v>
      </c>
      <c r="D404" s="30" t="s">
        <v>75</v>
      </c>
      <c r="E404" s="30" t="s">
        <v>228</v>
      </c>
      <c r="F404" s="41">
        <f>1000-500</f>
        <v>500</v>
      </c>
    </row>
    <row r="405" spans="1:6" s="50" customFormat="1" ht="27" x14ac:dyDescent="0.2">
      <c r="A405" s="86" t="s">
        <v>549</v>
      </c>
      <c r="B405" s="53" t="s">
        <v>731</v>
      </c>
      <c r="C405" s="53" t="s">
        <v>825</v>
      </c>
      <c r="D405" s="53" t="s">
        <v>444</v>
      </c>
      <c r="E405" s="53"/>
      <c r="F405" s="57">
        <f>F406+F409+F412+F415</f>
        <v>17614.537479999999</v>
      </c>
    </row>
    <row r="406" spans="1:6" s="50" customFormat="1" x14ac:dyDescent="0.2">
      <c r="A406" s="80" t="s">
        <v>850</v>
      </c>
      <c r="B406" s="24" t="s">
        <v>731</v>
      </c>
      <c r="C406" s="24" t="s">
        <v>825</v>
      </c>
      <c r="D406" s="24" t="s">
        <v>851</v>
      </c>
      <c r="E406" s="24"/>
      <c r="F406" s="42">
        <f>F407</f>
        <v>500</v>
      </c>
    </row>
    <row r="407" spans="1:6" s="50" customFormat="1" x14ac:dyDescent="0.2">
      <c r="A407" s="84" t="s">
        <v>473</v>
      </c>
      <c r="B407" s="30" t="s">
        <v>731</v>
      </c>
      <c r="C407" s="30" t="s">
        <v>825</v>
      </c>
      <c r="D407" s="30" t="s">
        <v>851</v>
      </c>
      <c r="E407" s="30" t="s">
        <v>226</v>
      </c>
      <c r="F407" s="41">
        <f>F408</f>
        <v>500</v>
      </c>
    </row>
    <row r="408" spans="1:6" s="50" customFormat="1" x14ac:dyDescent="0.2">
      <c r="A408" s="84" t="s">
        <v>227</v>
      </c>
      <c r="B408" s="30" t="s">
        <v>731</v>
      </c>
      <c r="C408" s="30" t="s">
        <v>825</v>
      </c>
      <c r="D408" s="30" t="s">
        <v>851</v>
      </c>
      <c r="E408" s="30" t="s">
        <v>228</v>
      </c>
      <c r="F408" s="41">
        <v>500</v>
      </c>
    </row>
    <row r="409" spans="1:6" s="50" customFormat="1" x14ac:dyDescent="0.2">
      <c r="A409" s="75" t="s">
        <v>286</v>
      </c>
      <c r="B409" s="24" t="s">
        <v>731</v>
      </c>
      <c r="C409" s="24" t="s">
        <v>825</v>
      </c>
      <c r="D409" s="106" t="s">
        <v>846</v>
      </c>
      <c r="E409" s="24"/>
      <c r="F409" s="42">
        <f>F410</f>
        <v>600</v>
      </c>
    </row>
    <row r="410" spans="1:6" s="50" customFormat="1" x14ac:dyDescent="0.2">
      <c r="A410" s="84" t="s">
        <v>394</v>
      </c>
      <c r="B410" s="30" t="s">
        <v>731</v>
      </c>
      <c r="C410" s="30" t="s">
        <v>825</v>
      </c>
      <c r="D410" s="30" t="s">
        <v>846</v>
      </c>
      <c r="E410" s="30" t="s">
        <v>733</v>
      </c>
      <c r="F410" s="41">
        <f>F411</f>
        <v>600</v>
      </c>
    </row>
    <row r="411" spans="1:6" s="50" customFormat="1" x14ac:dyDescent="0.2">
      <c r="A411" s="84" t="s">
        <v>734</v>
      </c>
      <c r="B411" s="30" t="s">
        <v>731</v>
      </c>
      <c r="C411" s="30" t="s">
        <v>825</v>
      </c>
      <c r="D411" s="30" t="s">
        <v>846</v>
      </c>
      <c r="E411" s="30" t="s">
        <v>735</v>
      </c>
      <c r="F411" s="41">
        <f>100+500</f>
        <v>600</v>
      </c>
    </row>
    <row r="412" spans="1:6" s="50" customFormat="1" x14ac:dyDescent="0.2">
      <c r="A412" s="80" t="s">
        <v>0</v>
      </c>
      <c r="B412" s="24" t="s">
        <v>731</v>
      </c>
      <c r="C412" s="24" t="s">
        <v>825</v>
      </c>
      <c r="D412" s="24" t="s">
        <v>1</v>
      </c>
      <c r="E412" s="24"/>
      <c r="F412" s="42">
        <f>F413</f>
        <v>700</v>
      </c>
    </row>
    <row r="413" spans="1:6" s="50" customFormat="1" x14ac:dyDescent="0.2">
      <c r="A413" s="84" t="s">
        <v>473</v>
      </c>
      <c r="B413" s="30" t="s">
        <v>731</v>
      </c>
      <c r="C413" s="30" t="s">
        <v>825</v>
      </c>
      <c r="D413" s="30" t="s">
        <v>1</v>
      </c>
      <c r="E413" s="30" t="s">
        <v>226</v>
      </c>
      <c r="F413" s="41">
        <f>F414</f>
        <v>700</v>
      </c>
    </row>
    <row r="414" spans="1:6" s="50" customFormat="1" x14ac:dyDescent="0.2">
      <c r="A414" s="84" t="s">
        <v>227</v>
      </c>
      <c r="B414" s="30" t="s">
        <v>731</v>
      </c>
      <c r="C414" s="30" t="s">
        <v>825</v>
      </c>
      <c r="D414" s="30" t="s">
        <v>1</v>
      </c>
      <c r="E414" s="30" t="s">
        <v>228</v>
      </c>
      <c r="F414" s="41">
        <v>700</v>
      </c>
    </row>
    <row r="415" spans="1:6" s="50" customFormat="1" x14ac:dyDescent="0.2">
      <c r="A415" s="80" t="s">
        <v>396</v>
      </c>
      <c r="B415" s="24" t="s">
        <v>731</v>
      </c>
      <c r="C415" s="24" t="s">
        <v>825</v>
      </c>
      <c r="D415" s="24" t="s">
        <v>847</v>
      </c>
      <c r="E415" s="24"/>
      <c r="F415" s="42">
        <f>F416</f>
        <v>15814.537480000001</v>
      </c>
    </row>
    <row r="416" spans="1:6" s="50" customFormat="1" x14ac:dyDescent="0.2">
      <c r="A416" s="84" t="s">
        <v>394</v>
      </c>
      <c r="B416" s="16" t="s">
        <v>731</v>
      </c>
      <c r="C416" s="16" t="s">
        <v>825</v>
      </c>
      <c r="D416" s="30" t="s">
        <v>847</v>
      </c>
      <c r="E416" s="30" t="s">
        <v>733</v>
      </c>
      <c r="F416" s="41">
        <f>F417</f>
        <v>15814.537480000001</v>
      </c>
    </row>
    <row r="417" spans="1:6" s="50" customFormat="1" x14ac:dyDescent="0.2">
      <c r="A417" s="84" t="s">
        <v>734</v>
      </c>
      <c r="B417" s="16" t="s">
        <v>731</v>
      </c>
      <c r="C417" s="16" t="s">
        <v>825</v>
      </c>
      <c r="D417" s="30" t="s">
        <v>847</v>
      </c>
      <c r="E417" s="30" t="s">
        <v>735</v>
      </c>
      <c r="F417" s="41">
        <f>33726.4-500-5000-1200-11.15151-300-600-7300-3000-0.71101</f>
        <v>15814.537480000001</v>
      </c>
    </row>
    <row r="418" spans="1:6" s="50" customFormat="1" x14ac:dyDescent="0.2">
      <c r="A418" s="80" t="s">
        <v>671</v>
      </c>
      <c r="B418" s="24" t="s">
        <v>731</v>
      </c>
      <c r="C418" s="24" t="s">
        <v>817</v>
      </c>
      <c r="D418" s="40"/>
      <c r="E418" s="30"/>
      <c r="F418" s="42">
        <f>F419+F450+F463+F473</f>
        <v>678259.44339999999</v>
      </c>
    </row>
    <row r="419" spans="1:6" s="50" customFormat="1" ht="13.5" x14ac:dyDescent="0.2">
      <c r="A419" s="86" t="s">
        <v>439</v>
      </c>
      <c r="B419" s="53" t="s">
        <v>731</v>
      </c>
      <c r="C419" s="53" t="s">
        <v>817</v>
      </c>
      <c r="D419" s="93" t="s">
        <v>425</v>
      </c>
      <c r="E419" s="53"/>
      <c r="F419" s="57">
        <f>F420+F423+F426+F429+F432+F435+F438+F441+F444+F447</f>
        <v>350943.65700000001</v>
      </c>
    </row>
    <row r="420" spans="1:6" s="50" customFormat="1" x14ac:dyDescent="0.2">
      <c r="A420" s="75" t="s">
        <v>10</v>
      </c>
      <c r="B420" s="24" t="s">
        <v>731</v>
      </c>
      <c r="C420" s="24" t="s">
        <v>817</v>
      </c>
      <c r="D420" s="24" t="s">
        <v>55</v>
      </c>
      <c r="E420" s="24"/>
      <c r="F420" s="42">
        <f>F421</f>
        <v>20300</v>
      </c>
    </row>
    <row r="421" spans="1:6" s="50" customFormat="1" x14ac:dyDescent="0.2">
      <c r="A421" s="84" t="s">
        <v>473</v>
      </c>
      <c r="B421" s="30" t="s">
        <v>731</v>
      </c>
      <c r="C421" s="30" t="s">
        <v>817</v>
      </c>
      <c r="D421" s="30" t="s">
        <v>55</v>
      </c>
      <c r="E421" s="30" t="s">
        <v>226</v>
      </c>
      <c r="F421" s="41">
        <f>F422</f>
        <v>20300</v>
      </c>
    </row>
    <row r="422" spans="1:6" s="50" customFormat="1" x14ac:dyDescent="0.2">
      <c r="A422" s="84" t="s">
        <v>227</v>
      </c>
      <c r="B422" s="30" t="s">
        <v>731</v>
      </c>
      <c r="C422" s="30" t="s">
        <v>817</v>
      </c>
      <c r="D422" s="30" t="s">
        <v>55</v>
      </c>
      <c r="E422" s="30" t="s">
        <v>228</v>
      </c>
      <c r="F422" s="41">
        <f>16100+4200</f>
        <v>20300</v>
      </c>
    </row>
    <row r="423" spans="1:6" s="50" customFormat="1" x14ac:dyDescent="0.2">
      <c r="A423" s="75" t="s">
        <v>557</v>
      </c>
      <c r="B423" s="24" t="s">
        <v>731</v>
      </c>
      <c r="C423" s="24" t="s">
        <v>817</v>
      </c>
      <c r="D423" s="24" t="s">
        <v>56</v>
      </c>
      <c r="E423" s="24"/>
      <c r="F423" s="42">
        <f>F424</f>
        <v>2000</v>
      </c>
    </row>
    <row r="424" spans="1:6" s="50" customFormat="1" x14ac:dyDescent="0.2">
      <c r="A424" s="84" t="s">
        <v>473</v>
      </c>
      <c r="B424" s="30" t="s">
        <v>731</v>
      </c>
      <c r="C424" s="30" t="s">
        <v>817</v>
      </c>
      <c r="D424" s="30" t="s">
        <v>56</v>
      </c>
      <c r="E424" s="30" t="s">
        <v>226</v>
      </c>
      <c r="F424" s="41">
        <f>F425</f>
        <v>2000</v>
      </c>
    </row>
    <row r="425" spans="1:6" s="50" customFormat="1" x14ac:dyDescent="0.2">
      <c r="A425" s="84" t="s">
        <v>227</v>
      </c>
      <c r="B425" s="30" t="s">
        <v>731</v>
      </c>
      <c r="C425" s="30" t="s">
        <v>817</v>
      </c>
      <c r="D425" s="30" t="s">
        <v>56</v>
      </c>
      <c r="E425" s="30" t="s">
        <v>228</v>
      </c>
      <c r="F425" s="41">
        <v>2000</v>
      </c>
    </row>
    <row r="426" spans="1:6" s="50" customFormat="1" x14ac:dyDescent="0.2">
      <c r="A426" s="80" t="s">
        <v>558</v>
      </c>
      <c r="B426" s="24" t="s">
        <v>731</v>
      </c>
      <c r="C426" s="24" t="s">
        <v>817</v>
      </c>
      <c r="D426" s="24" t="s">
        <v>57</v>
      </c>
      <c r="E426" s="24"/>
      <c r="F426" s="42">
        <f>F427</f>
        <v>2000</v>
      </c>
    </row>
    <row r="427" spans="1:6" s="50" customFormat="1" x14ac:dyDescent="0.2">
      <c r="A427" s="84" t="s">
        <v>473</v>
      </c>
      <c r="B427" s="30" t="s">
        <v>731</v>
      </c>
      <c r="C427" s="30" t="s">
        <v>817</v>
      </c>
      <c r="D427" s="30" t="s">
        <v>57</v>
      </c>
      <c r="E427" s="30" t="s">
        <v>226</v>
      </c>
      <c r="F427" s="41">
        <f>F428</f>
        <v>2000</v>
      </c>
    </row>
    <row r="428" spans="1:6" s="50" customFormat="1" x14ac:dyDescent="0.2">
      <c r="A428" s="84" t="s">
        <v>227</v>
      </c>
      <c r="B428" s="30" t="s">
        <v>731</v>
      </c>
      <c r="C428" s="30" t="s">
        <v>817</v>
      </c>
      <c r="D428" s="30" t="s">
        <v>57</v>
      </c>
      <c r="E428" s="30" t="s">
        <v>228</v>
      </c>
      <c r="F428" s="41">
        <v>2000</v>
      </c>
    </row>
    <row r="429" spans="1:6" s="50" customFormat="1" ht="24" x14ac:dyDescent="0.2">
      <c r="A429" s="75" t="s">
        <v>535</v>
      </c>
      <c r="B429" s="24" t="s">
        <v>731</v>
      </c>
      <c r="C429" s="24" t="s">
        <v>817</v>
      </c>
      <c r="D429" s="24" t="s">
        <v>58</v>
      </c>
      <c r="E429" s="24"/>
      <c r="F429" s="42">
        <f>F430</f>
        <v>4406.2569999999996</v>
      </c>
    </row>
    <row r="430" spans="1:6" s="50" customFormat="1" x14ac:dyDescent="0.2">
      <c r="A430" s="84" t="s">
        <v>473</v>
      </c>
      <c r="B430" s="30" t="s">
        <v>731</v>
      </c>
      <c r="C430" s="30" t="s">
        <v>817</v>
      </c>
      <c r="D430" s="30" t="s">
        <v>58</v>
      </c>
      <c r="E430" s="30" t="s">
        <v>226</v>
      </c>
      <c r="F430" s="41">
        <f>F431</f>
        <v>4406.2569999999996</v>
      </c>
    </row>
    <row r="431" spans="1:6" s="50" customFormat="1" x14ac:dyDescent="0.2">
      <c r="A431" s="84" t="s">
        <v>227</v>
      </c>
      <c r="B431" s="30" t="s">
        <v>731</v>
      </c>
      <c r="C431" s="30" t="s">
        <v>817</v>
      </c>
      <c r="D431" s="30" t="s">
        <v>58</v>
      </c>
      <c r="E431" s="30" t="s">
        <v>228</v>
      </c>
      <c r="F431" s="41">
        <f>4500-93.743</f>
        <v>4406.2569999999996</v>
      </c>
    </row>
    <row r="432" spans="1:6" s="50" customFormat="1" x14ac:dyDescent="0.2">
      <c r="A432" s="76" t="s">
        <v>536</v>
      </c>
      <c r="B432" s="24" t="s">
        <v>731</v>
      </c>
      <c r="C432" s="24" t="s">
        <v>817</v>
      </c>
      <c r="D432" s="37" t="s">
        <v>59</v>
      </c>
      <c r="E432" s="37"/>
      <c r="F432" s="42">
        <f>F433</f>
        <v>1000</v>
      </c>
    </row>
    <row r="433" spans="1:6" s="50" customFormat="1" x14ac:dyDescent="0.2">
      <c r="A433" s="84" t="s">
        <v>322</v>
      </c>
      <c r="B433" s="30" t="s">
        <v>731</v>
      </c>
      <c r="C433" s="30" t="s">
        <v>817</v>
      </c>
      <c r="D433" s="31" t="s">
        <v>59</v>
      </c>
      <c r="E433" s="30" t="s">
        <v>226</v>
      </c>
      <c r="F433" s="41">
        <f>F434</f>
        <v>1000</v>
      </c>
    </row>
    <row r="434" spans="1:6" s="50" customFormat="1" x14ac:dyDescent="0.2">
      <c r="A434" s="84" t="s">
        <v>227</v>
      </c>
      <c r="B434" s="30" t="s">
        <v>731</v>
      </c>
      <c r="C434" s="30" t="s">
        <v>817</v>
      </c>
      <c r="D434" s="31" t="s">
        <v>59</v>
      </c>
      <c r="E434" s="30" t="s">
        <v>228</v>
      </c>
      <c r="F434" s="41">
        <v>1000</v>
      </c>
    </row>
    <row r="435" spans="1:6" s="50" customFormat="1" x14ac:dyDescent="0.2">
      <c r="A435" s="87" t="s">
        <v>409</v>
      </c>
      <c r="B435" s="24" t="s">
        <v>731</v>
      </c>
      <c r="C435" s="24" t="s">
        <v>817</v>
      </c>
      <c r="D435" s="24" t="s">
        <v>60</v>
      </c>
      <c r="E435" s="24"/>
      <c r="F435" s="42">
        <f>F436</f>
        <v>70000</v>
      </c>
    </row>
    <row r="436" spans="1:6" s="50" customFormat="1" x14ac:dyDescent="0.2">
      <c r="A436" s="84" t="s">
        <v>473</v>
      </c>
      <c r="B436" s="30" t="s">
        <v>731</v>
      </c>
      <c r="C436" s="30" t="s">
        <v>817</v>
      </c>
      <c r="D436" s="30" t="s">
        <v>60</v>
      </c>
      <c r="E436" s="30" t="s">
        <v>226</v>
      </c>
      <c r="F436" s="41">
        <f>F437</f>
        <v>70000</v>
      </c>
    </row>
    <row r="437" spans="1:6" s="50" customFormat="1" x14ac:dyDescent="0.2">
      <c r="A437" s="84" t="s">
        <v>227</v>
      </c>
      <c r="B437" s="30" t="s">
        <v>731</v>
      </c>
      <c r="C437" s="30" t="s">
        <v>817</v>
      </c>
      <c r="D437" s="30" t="s">
        <v>60</v>
      </c>
      <c r="E437" s="30" t="s">
        <v>228</v>
      </c>
      <c r="F437" s="41">
        <v>70000</v>
      </c>
    </row>
    <row r="438" spans="1:6" s="50" customFormat="1" x14ac:dyDescent="0.2">
      <c r="A438" s="87" t="s">
        <v>537</v>
      </c>
      <c r="B438" s="24" t="s">
        <v>731</v>
      </c>
      <c r="C438" s="24" t="s">
        <v>817</v>
      </c>
      <c r="D438" s="24" t="s">
        <v>61</v>
      </c>
      <c r="E438" s="24"/>
      <c r="F438" s="42">
        <f>F439</f>
        <v>18800</v>
      </c>
    </row>
    <row r="439" spans="1:6" s="50" customFormat="1" x14ac:dyDescent="0.2">
      <c r="A439" s="84" t="s">
        <v>473</v>
      </c>
      <c r="B439" s="30" t="s">
        <v>731</v>
      </c>
      <c r="C439" s="30" t="s">
        <v>817</v>
      </c>
      <c r="D439" s="30" t="s">
        <v>61</v>
      </c>
      <c r="E439" s="30" t="s">
        <v>226</v>
      </c>
      <c r="F439" s="41">
        <f>F440</f>
        <v>18800</v>
      </c>
    </row>
    <row r="440" spans="1:6" s="50" customFormat="1" x14ac:dyDescent="0.2">
      <c r="A440" s="84" t="s">
        <v>227</v>
      </c>
      <c r="B440" s="30" t="s">
        <v>731</v>
      </c>
      <c r="C440" s="30" t="s">
        <v>817</v>
      </c>
      <c r="D440" s="30" t="s">
        <v>61</v>
      </c>
      <c r="E440" s="30" t="s">
        <v>228</v>
      </c>
      <c r="F440" s="41">
        <f>23000-4200</f>
        <v>18800</v>
      </c>
    </row>
    <row r="441" spans="1:6" s="50" customFormat="1" ht="24" x14ac:dyDescent="0.2">
      <c r="A441" s="80" t="s">
        <v>543</v>
      </c>
      <c r="B441" s="24" t="s">
        <v>731</v>
      </c>
      <c r="C441" s="24" t="s">
        <v>817</v>
      </c>
      <c r="D441" s="24" t="s">
        <v>62</v>
      </c>
      <c r="E441" s="24"/>
      <c r="F441" s="42">
        <f>F442</f>
        <v>500</v>
      </c>
    </row>
    <row r="442" spans="1:6" s="50" customFormat="1" x14ac:dyDescent="0.2">
      <c r="A442" s="84" t="s">
        <v>473</v>
      </c>
      <c r="B442" s="30" t="s">
        <v>731</v>
      </c>
      <c r="C442" s="30" t="s">
        <v>817</v>
      </c>
      <c r="D442" s="30" t="s">
        <v>62</v>
      </c>
      <c r="E442" s="30" t="s">
        <v>226</v>
      </c>
      <c r="F442" s="41">
        <f>F443</f>
        <v>500</v>
      </c>
    </row>
    <row r="443" spans="1:6" s="50" customFormat="1" x14ac:dyDescent="0.2">
      <c r="A443" s="84" t="s">
        <v>227</v>
      </c>
      <c r="B443" s="30" t="s">
        <v>731</v>
      </c>
      <c r="C443" s="30" t="s">
        <v>817</v>
      </c>
      <c r="D443" s="30" t="s">
        <v>62</v>
      </c>
      <c r="E443" s="30" t="s">
        <v>228</v>
      </c>
      <c r="F443" s="41">
        <v>500</v>
      </c>
    </row>
    <row r="444" spans="1:6" s="50" customFormat="1" ht="24" x14ac:dyDescent="0.2">
      <c r="A444" s="80" t="s">
        <v>431</v>
      </c>
      <c r="B444" s="24" t="s">
        <v>731</v>
      </c>
      <c r="C444" s="24" t="s">
        <v>817</v>
      </c>
      <c r="D444" s="24" t="s">
        <v>64</v>
      </c>
      <c r="E444" s="24"/>
      <c r="F444" s="42">
        <f>F445</f>
        <v>162000</v>
      </c>
    </row>
    <row r="445" spans="1:6" s="50" customFormat="1" x14ac:dyDescent="0.2">
      <c r="A445" s="84" t="s">
        <v>246</v>
      </c>
      <c r="B445" s="30" t="s">
        <v>731</v>
      </c>
      <c r="C445" s="30" t="s">
        <v>817</v>
      </c>
      <c r="D445" s="30" t="s">
        <v>64</v>
      </c>
      <c r="E445" s="30" t="s">
        <v>702</v>
      </c>
      <c r="F445" s="41">
        <f>F446</f>
        <v>162000</v>
      </c>
    </row>
    <row r="446" spans="1:6" s="50" customFormat="1" x14ac:dyDescent="0.2">
      <c r="A446" s="84" t="s">
        <v>247</v>
      </c>
      <c r="B446" s="30" t="s">
        <v>731</v>
      </c>
      <c r="C446" s="30" t="s">
        <v>817</v>
      </c>
      <c r="D446" s="30" t="s">
        <v>64</v>
      </c>
      <c r="E446" s="30" t="s">
        <v>724</v>
      </c>
      <c r="F446" s="41">
        <f>155000+6600+400</f>
        <v>162000</v>
      </c>
    </row>
    <row r="447" spans="1:6" s="50" customFormat="1" x14ac:dyDescent="0.2">
      <c r="A447" s="80" t="s">
        <v>418</v>
      </c>
      <c r="B447" s="24" t="s">
        <v>731</v>
      </c>
      <c r="C447" s="24" t="s">
        <v>817</v>
      </c>
      <c r="D447" s="24" t="s">
        <v>41</v>
      </c>
      <c r="E447" s="24"/>
      <c r="F447" s="117">
        <f>F448</f>
        <v>69937.399999999994</v>
      </c>
    </row>
    <row r="448" spans="1:6" s="50" customFormat="1" x14ac:dyDescent="0.2">
      <c r="A448" s="84" t="s">
        <v>473</v>
      </c>
      <c r="B448" s="30" t="s">
        <v>731</v>
      </c>
      <c r="C448" s="30" t="s">
        <v>817</v>
      </c>
      <c r="D448" s="30" t="s">
        <v>41</v>
      </c>
      <c r="E448" s="30" t="s">
        <v>226</v>
      </c>
      <c r="F448" s="118">
        <f>F449</f>
        <v>69937.399999999994</v>
      </c>
    </row>
    <row r="449" spans="1:6" s="50" customFormat="1" x14ac:dyDescent="0.2">
      <c r="A449" s="84" t="s">
        <v>227</v>
      </c>
      <c r="B449" s="30" t="s">
        <v>731</v>
      </c>
      <c r="C449" s="30" t="s">
        <v>817</v>
      </c>
      <c r="D449" s="30" t="s">
        <v>41</v>
      </c>
      <c r="E449" s="30" t="s">
        <v>228</v>
      </c>
      <c r="F449" s="118">
        <f>59000+1000+3000+4000+2937.4</f>
        <v>69937.399999999994</v>
      </c>
    </row>
    <row r="450" spans="1:6" s="50" customFormat="1" ht="27" x14ac:dyDescent="0.2">
      <c r="A450" s="86" t="s">
        <v>65</v>
      </c>
      <c r="B450" s="53" t="s">
        <v>731</v>
      </c>
      <c r="C450" s="53" t="s">
        <v>817</v>
      </c>
      <c r="D450" s="53" t="s">
        <v>410</v>
      </c>
      <c r="E450" s="53"/>
      <c r="F450" s="57">
        <f>F451</f>
        <v>137782.2464</v>
      </c>
    </row>
    <row r="451" spans="1:6" s="50" customFormat="1" x14ac:dyDescent="0.2">
      <c r="A451" s="80" t="s">
        <v>754</v>
      </c>
      <c r="B451" s="24" t="s">
        <v>731</v>
      </c>
      <c r="C451" s="24" t="s">
        <v>817</v>
      </c>
      <c r="D451" s="24" t="s">
        <v>276</v>
      </c>
      <c r="E451" s="24"/>
      <c r="F451" s="42">
        <f>F452+F457+F460</f>
        <v>137782.2464</v>
      </c>
    </row>
    <row r="452" spans="1:6" s="50" customFormat="1" x14ac:dyDescent="0.2">
      <c r="A452" s="83" t="s">
        <v>198</v>
      </c>
      <c r="B452" s="25" t="s">
        <v>731</v>
      </c>
      <c r="C452" s="25" t="s">
        <v>817</v>
      </c>
      <c r="D452" s="25" t="s">
        <v>79</v>
      </c>
      <c r="E452" s="33"/>
      <c r="F452" s="45">
        <f>F453+F455</f>
        <v>23782.2464</v>
      </c>
    </row>
    <row r="453" spans="1:6" s="50" customFormat="1" x14ac:dyDescent="0.2">
      <c r="A453" s="84" t="s">
        <v>473</v>
      </c>
      <c r="B453" s="30" t="s">
        <v>731</v>
      </c>
      <c r="C453" s="30" t="s">
        <v>817</v>
      </c>
      <c r="D453" s="30" t="s">
        <v>79</v>
      </c>
      <c r="E453" s="30" t="s">
        <v>226</v>
      </c>
      <c r="F453" s="41">
        <f>F454</f>
        <v>319.63299999999998</v>
      </c>
    </row>
    <row r="454" spans="1:6" s="50" customFormat="1" x14ac:dyDescent="0.2">
      <c r="A454" s="84" t="s">
        <v>227</v>
      </c>
      <c r="B454" s="30" t="s">
        <v>731</v>
      </c>
      <c r="C454" s="30" t="s">
        <v>817</v>
      </c>
      <c r="D454" s="30" t="s">
        <v>79</v>
      </c>
      <c r="E454" s="30" t="s">
        <v>228</v>
      </c>
      <c r="F454" s="41">
        <v>319.63299999999998</v>
      </c>
    </row>
    <row r="455" spans="1:6" s="50" customFormat="1" x14ac:dyDescent="0.2">
      <c r="A455" s="84" t="s">
        <v>246</v>
      </c>
      <c r="B455" s="30" t="s">
        <v>731</v>
      </c>
      <c r="C455" s="30" t="s">
        <v>817</v>
      </c>
      <c r="D455" s="30" t="s">
        <v>79</v>
      </c>
      <c r="E455" s="30" t="s">
        <v>702</v>
      </c>
      <c r="F455" s="41">
        <f>F456</f>
        <v>23462.613399999998</v>
      </c>
    </row>
    <row r="456" spans="1:6" s="50" customFormat="1" x14ac:dyDescent="0.2">
      <c r="A456" s="84" t="s">
        <v>247</v>
      </c>
      <c r="B456" s="30" t="s">
        <v>731</v>
      </c>
      <c r="C456" s="30" t="s">
        <v>817</v>
      </c>
      <c r="D456" s="30" t="s">
        <v>79</v>
      </c>
      <c r="E456" s="30" t="s">
        <v>724</v>
      </c>
      <c r="F456" s="41">
        <f>21500+2282.2464-319.633</f>
        <v>23462.613399999998</v>
      </c>
    </row>
    <row r="457" spans="1:6" s="50" customFormat="1" x14ac:dyDescent="0.2">
      <c r="A457" s="83" t="s">
        <v>417</v>
      </c>
      <c r="B457" s="25" t="s">
        <v>731</v>
      </c>
      <c r="C457" s="25" t="s">
        <v>817</v>
      </c>
      <c r="D457" s="25" t="s">
        <v>80</v>
      </c>
      <c r="E457" s="25"/>
      <c r="F457" s="45">
        <f>F458</f>
        <v>80000</v>
      </c>
    </row>
    <row r="458" spans="1:6" s="50" customFormat="1" x14ac:dyDescent="0.2">
      <c r="A458" s="84" t="s">
        <v>473</v>
      </c>
      <c r="B458" s="30" t="s">
        <v>731</v>
      </c>
      <c r="C458" s="30" t="s">
        <v>817</v>
      </c>
      <c r="D458" s="30" t="s">
        <v>80</v>
      </c>
      <c r="E458" s="30" t="s">
        <v>226</v>
      </c>
      <c r="F458" s="41">
        <f>F459</f>
        <v>80000</v>
      </c>
    </row>
    <row r="459" spans="1:6" s="50" customFormat="1" x14ac:dyDescent="0.2">
      <c r="A459" s="84" t="s">
        <v>227</v>
      </c>
      <c r="B459" s="30" t="s">
        <v>731</v>
      </c>
      <c r="C459" s="30" t="s">
        <v>817</v>
      </c>
      <c r="D459" s="30" t="s">
        <v>80</v>
      </c>
      <c r="E459" s="30" t="s">
        <v>228</v>
      </c>
      <c r="F459" s="41">
        <f>70000+10000</f>
        <v>80000</v>
      </c>
    </row>
    <row r="460" spans="1:6" s="50" customFormat="1" ht="36" x14ac:dyDescent="0.2">
      <c r="A460" s="62" t="s">
        <v>612</v>
      </c>
      <c r="B460" s="25" t="s">
        <v>731</v>
      </c>
      <c r="C460" s="25" t="s">
        <v>817</v>
      </c>
      <c r="D460" s="25" t="s">
        <v>81</v>
      </c>
      <c r="E460" s="25"/>
      <c r="F460" s="122">
        <f>F461</f>
        <v>34000</v>
      </c>
    </row>
    <row r="461" spans="1:6" s="50" customFormat="1" x14ac:dyDescent="0.2">
      <c r="A461" s="84" t="s">
        <v>229</v>
      </c>
      <c r="B461" s="30" t="s">
        <v>731</v>
      </c>
      <c r="C461" s="30" t="s">
        <v>817</v>
      </c>
      <c r="D461" s="30" t="s">
        <v>81</v>
      </c>
      <c r="E461" s="30" t="s">
        <v>230</v>
      </c>
      <c r="F461" s="118">
        <f>F462</f>
        <v>34000</v>
      </c>
    </row>
    <row r="462" spans="1:6" s="50" customFormat="1" ht="24" x14ac:dyDescent="0.2">
      <c r="A462" s="84" t="s">
        <v>105</v>
      </c>
      <c r="B462" s="30" t="s">
        <v>731</v>
      </c>
      <c r="C462" s="30" t="s">
        <v>817</v>
      </c>
      <c r="D462" s="30" t="s">
        <v>81</v>
      </c>
      <c r="E462" s="30" t="s">
        <v>729</v>
      </c>
      <c r="F462" s="118">
        <v>34000</v>
      </c>
    </row>
    <row r="463" spans="1:6" s="50" customFormat="1" ht="27" x14ac:dyDescent="0.2">
      <c r="A463" s="86" t="s">
        <v>549</v>
      </c>
      <c r="B463" s="53" t="s">
        <v>731</v>
      </c>
      <c r="C463" s="53" t="s">
        <v>817</v>
      </c>
      <c r="D463" s="53" t="s">
        <v>444</v>
      </c>
      <c r="E463" s="53"/>
      <c r="F463" s="57">
        <f>F464+F467+F470</f>
        <v>18900</v>
      </c>
    </row>
    <row r="464" spans="1:6" s="50" customFormat="1" x14ac:dyDescent="0.2">
      <c r="A464" s="75" t="s">
        <v>2</v>
      </c>
      <c r="B464" s="24" t="s">
        <v>731</v>
      </c>
      <c r="C464" s="24" t="s">
        <v>817</v>
      </c>
      <c r="D464" s="24" t="s">
        <v>3</v>
      </c>
      <c r="E464" s="24"/>
      <c r="F464" s="42">
        <f>F465</f>
        <v>11400</v>
      </c>
    </row>
    <row r="465" spans="1:6" s="50" customFormat="1" x14ac:dyDescent="0.2">
      <c r="A465" s="84" t="s">
        <v>357</v>
      </c>
      <c r="B465" s="30" t="s">
        <v>731</v>
      </c>
      <c r="C465" s="30" t="s">
        <v>817</v>
      </c>
      <c r="D465" s="30" t="s">
        <v>3</v>
      </c>
      <c r="E465" s="30" t="s">
        <v>226</v>
      </c>
      <c r="F465" s="41">
        <f>F466</f>
        <v>11400</v>
      </c>
    </row>
    <row r="466" spans="1:6" s="50" customFormat="1" x14ac:dyDescent="0.2">
      <c r="A466" s="84" t="s">
        <v>227</v>
      </c>
      <c r="B466" s="30" t="s">
        <v>731</v>
      </c>
      <c r="C466" s="30" t="s">
        <v>817</v>
      </c>
      <c r="D466" s="30" t="s">
        <v>3</v>
      </c>
      <c r="E466" s="30" t="s">
        <v>228</v>
      </c>
      <c r="F466" s="41">
        <v>11400</v>
      </c>
    </row>
    <row r="467" spans="1:6" s="50" customFormat="1" x14ac:dyDescent="0.2">
      <c r="A467" s="80" t="s">
        <v>4</v>
      </c>
      <c r="B467" s="24" t="s">
        <v>731</v>
      </c>
      <c r="C467" s="24" t="s">
        <v>817</v>
      </c>
      <c r="D467" s="24" t="s">
        <v>5</v>
      </c>
      <c r="E467" s="24"/>
      <c r="F467" s="42">
        <f>F468</f>
        <v>7400</v>
      </c>
    </row>
    <row r="468" spans="1:6" s="50" customFormat="1" x14ac:dyDescent="0.2">
      <c r="A468" s="84" t="s">
        <v>357</v>
      </c>
      <c r="B468" s="30" t="s">
        <v>731</v>
      </c>
      <c r="C468" s="30" t="s">
        <v>817</v>
      </c>
      <c r="D468" s="30" t="s">
        <v>5</v>
      </c>
      <c r="E468" s="30" t="s">
        <v>226</v>
      </c>
      <c r="F468" s="41">
        <f>F469</f>
        <v>7400</v>
      </c>
    </row>
    <row r="469" spans="1:6" s="50" customFormat="1" x14ac:dyDescent="0.2">
      <c r="A469" s="84" t="s">
        <v>227</v>
      </c>
      <c r="B469" s="30" t="s">
        <v>731</v>
      </c>
      <c r="C469" s="30" t="s">
        <v>817</v>
      </c>
      <c r="D469" s="30" t="s">
        <v>5</v>
      </c>
      <c r="E469" s="30" t="s">
        <v>228</v>
      </c>
      <c r="F469" s="41">
        <f>3000+4400</f>
        <v>7400</v>
      </c>
    </row>
    <row r="470" spans="1:6" s="50" customFormat="1" x14ac:dyDescent="0.2">
      <c r="A470" s="75" t="s">
        <v>286</v>
      </c>
      <c r="B470" s="24" t="s">
        <v>731</v>
      </c>
      <c r="C470" s="24" t="s">
        <v>817</v>
      </c>
      <c r="D470" s="24" t="s">
        <v>846</v>
      </c>
      <c r="E470" s="24"/>
      <c r="F470" s="117">
        <f>F471</f>
        <v>100</v>
      </c>
    </row>
    <row r="471" spans="1:6" s="50" customFormat="1" x14ac:dyDescent="0.2">
      <c r="A471" s="84" t="s">
        <v>473</v>
      </c>
      <c r="B471" s="30" t="s">
        <v>731</v>
      </c>
      <c r="C471" s="30" t="s">
        <v>817</v>
      </c>
      <c r="D471" s="30" t="s">
        <v>846</v>
      </c>
      <c r="E471" s="30" t="s">
        <v>226</v>
      </c>
      <c r="F471" s="118">
        <f>F472</f>
        <v>100</v>
      </c>
    </row>
    <row r="472" spans="1:6" s="50" customFormat="1" x14ac:dyDescent="0.2">
      <c r="A472" s="84" t="s">
        <v>227</v>
      </c>
      <c r="B472" s="30" t="s">
        <v>731</v>
      </c>
      <c r="C472" s="30" t="s">
        <v>817</v>
      </c>
      <c r="D472" s="30" t="s">
        <v>846</v>
      </c>
      <c r="E472" s="30" t="s">
        <v>228</v>
      </c>
      <c r="F472" s="118">
        <v>100</v>
      </c>
    </row>
    <row r="473" spans="1:6" s="50" customFormat="1" ht="27" x14ac:dyDescent="0.2">
      <c r="A473" s="86" t="s">
        <v>13</v>
      </c>
      <c r="B473" s="53" t="s">
        <v>731</v>
      </c>
      <c r="C473" s="53" t="s">
        <v>817</v>
      </c>
      <c r="D473" s="93" t="s">
        <v>14</v>
      </c>
      <c r="E473" s="53"/>
      <c r="F473" s="121">
        <f>F474+F477+F480</f>
        <v>170633.54</v>
      </c>
    </row>
    <row r="474" spans="1:6" s="50" customFormat="1" x14ac:dyDescent="0.2">
      <c r="A474" s="80" t="s">
        <v>345</v>
      </c>
      <c r="B474" s="24" t="s">
        <v>731</v>
      </c>
      <c r="C474" s="24" t="s">
        <v>817</v>
      </c>
      <c r="D474" s="43" t="s">
        <v>320</v>
      </c>
      <c r="E474" s="24"/>
      <c r="F474" s="117">
        <f>F475</f>
        <v>159511.54</v>
      </c>
    </row>
    <row r="475" spans="1:6" s="50" customFormat="1" x14ac:dyDescent="0.2">
      <c r="A475" s="84" t="s">
        <v>473</v>
      </c>
      <c r="B475" s="30" t="s">
        <v>731</v>
      </c>
      <c r="C475" s="30" t="s">
        <v>817</v>
      </c>
      <c r="D475" s="40" t="s">
        <v>320</v>
      </c>
      <c r="E475" s="30" t="s">
        <v>226</v>
      </c>
      <c r="F475" s="118">
        <f>F476</f>
        <v>159511.54</v>
      </c>
    </row>
    <row r="476" spans="1:6" s="50" customFormat="1" x14ac:dyDescent="0.2">
      <c r="A476" s="84" t="s">
        <v>227</v>
      </c>
      <c r="B476" s="30" t="s">
        <v>731</v>
      </c>
      <c r="C476" s="30" t="s">
        <v>817</v>
      </c>
      <c r="D476" s="40" t="s">
        <v>320</v>
      </c>
      <c r="E476" s="30" t="s">
        <v>228</v>
      </c>
      <c r="F476" s="118">
        <f>158816+695.54</f>
        <v>159511.54</v>
      </c>
    </row>
    <row r="477" spans="1:6" s="50" customFormat="1" x14ac:dyDescent="0.2">
      <c r="A477" s="80" t="s">
        <v>167</v>
      </c>
      <c r="B477" s="24" t="s">
        <v>731</v>
      </c>
      <c r="C477" s="24" t="s">
        <v>817</v>
      </c>
      <c r="D477" s="43" t="s">
        <v>321</v>
      </c>
      <c r="E477" s="24"/>
      <c r="F477" s="117">
        <f>F478</f>
        <v>0</v>
      </c>
    </row>
    <row r="478" spans="1:6" s="50" customFormat="1" x14ac:dyDescent="0.2">
      <c r="A478" s="84" t="s">
        <v>473</v>
      </c>
      <c r="B478" s="30" t="s">
        <v>731</v>
      </c>
      <c r="C478" s="30" t="s">
        <v>817</v>
      </c>
      <c r="D478" s="40" t="s">
        <v>321</v>
      </c>
      <c r="E478" s="30" t="s">
        <v>226</v>
      </c>
      <c r="F478" s="118">
        <f>F479</f>
        <v>0</v>
      </c>
    </row>
    <row r="479" spans="1:6" s="50" customFormat="1" x14ac:dyDescent="0.2">
      <c r="A479" s="84" t="s">
        <v>227</v>
      </c>
      <c r="B479" s="30" t="s">
        <v>731</v>
      </c>
      <c r="C479" s="30" t="s">
        <v>817</v>
      </c>
      <c r="D479" s="40" t="s">
        <v>321</v>
      </c>
      <c r="E479" s="30" t="s">
        <v>228</v>
      </c>
      <c r="F479" s="118">
        <f>7000+4122-11122</f>
        <v>0</v>
      </c>
    </row>
    <row r="480" spans="1:6" s="50" customFormat="1" x14ac:dyDescent="0.2">
      <c r="A480" s="80" t="s">
        <v>167</v>
      </c>
      <c r="B480" s="24" t="s">
        <v>731</v>
      </c>
      <c r="C480" s="24" t="s">
        <v>817</v>
      </c>
      <c r="D480" s="43" t="s">
        <v>88</v>
      </c>
      <c r="E480" s="24"/>
      <c r="F480" s="117">
        <f>F481</f>
        <v>11122</v>
      </c>
    </row>
    <row r="481" spans="1:6" s="50" customFormat="1" x14ac:dyDescent="0.2">
      <c r="A481" s="84" t="s">
        <v>473</v>
      </c>
      <c r="B481" s="30" t="s">
        <v>731</v>
      </c>
      <c r="C481" s="30" t="s">
        <v>817</v>
      </c>
      <c r="D481" s="40" t="s">
        <v>88</v>
      </c>
      <c r="E481" s="30" t="s">
        <v>226</v>
      </c>
      <c r="F481" s="118">
        <f>F482</f>
        <v>11122</v>
      </c>
    </row>
    <row r="482" spans="1:6" s="50" customFormat="1" x14ac:dyDescent="0.2">
      <c r="A482" s="84" t="s">
        <v>227</v>
      </c>
      <c r="B482" s="30" t="s">
        <v>731</v>
      </c>
      <c r="C482" s="30" t="s">
        <v>817</v>
      </c>
      <c r="D482" s="40" t="s">
        <v>88</v>
      </c>
      <c r="E482" s="30" t="s">
        <v>228</v>
      </c>
      <c r="F482" s="118">
        <f>7000+4122</f>
        <v>11122</v>
      </c>
    </row>
    <row r="483" spans="1:6" s="50" customFormat="1" x14ac:dyDescent="0.2">
      <c r="A483" s="80" t="s">
        <v>672</v>
      </c>
      <c r="B483" s="24" t="s">
        <v>731</v>
      </c>
      <c r="C483" s="24" t="s">
        <v>731</v>
      </c>
      <c r="D483" s="24"/>
      <c r="E483" s="24"/>
      <c r="F483" s="42">
        <f>F484+F495+F515</f>
        <v>33159</v>
      </c>
    </row>
    <row r="484" spans="1:6" s="50" customFormat="1" ht="13.5" x14ac:dyDescent="0.2">
      <c r="A484" s="86" t="s">
        <v>439</v>
      </c>
      <c r="B484" s="53" t="s">
        <v>731</v>
      </c>
      <c r="C484" s="53" t="s">
        <v>731</v>
      </c>
      <c r="D484" s="53" t="s">
        <v>425</v>
      </c>
      <c r="E484" s="53"/>
      <c r="F484" s="57">
        <f>F485</f>
        <v>6346</v>
      </c>
    </row>
    <row r="485" spans="1:6" s="50" customFormat="1" x14ac:dyDescent="0.2">
      <c r="A485" s="82" t="s">
        <v>540</v>
      </c>
      <c r="B485" s="24" t="s">
        <v>731</v>
      </c>
      <c r="C485" s="24" t="s">
        <v>731</v>
      </c>
      <c r="D485" s="24" t="s">
        <v>425</v>
      </c>
      <c r="E485" s="24"/>
      <c r="F485" s="42">
        <f>F486</f>
        <v>6346</v>
      </c>
    </row>
    <row r="486" spans="1:6" s="50" customFormat="1" ht="24" x14ac:dyDescent="0.2">
      <c r="A486" s="83" t="s">
        <v>704</v>
      </c>
      <c r="B486" s="25" t="s">
        <v>731</v>
      </c>
      <c r="C486" s="25" t="s">
        <v>731</v>
      </c>
      <c r="D486" s="25" t="s">
        <v>425</v>
      </c>
      <c r="E486" s="25"/>
      <c r="F486" s="45">
        <f>F487+F490</f>
        <v>6346</v>
      </c>
    </row>
    <row r="487" spans="1:6" s="50" customFormat="1" x14ac:dyDescent="0.2">
      <c r="A487" s="82" t="s">
        <v>685</v>
      </c>
      <c r="B487" s="24" t="s">
        <v>731</v>
      </c>
      <c r="C487" s="24" t="s">
        <v>731</v>
      </c>
      <c r="D487" s="24" t="s">
        <v>541</v>
      </c>
      <c r="E487" s="24"/>
      <c r="F487" s="42">
        <f>F488</f>
        <v>6153</v>
      </c>
    </row>
    <row r="488" spans="1:6" s="50" customFormat="1" ht="24" x14ac:dyDescent="0.2">
      <c r="A488" s="84" t="s">
        <v>217</v>
      </c>
      <c r="B488" s="30" t="s">
        <v>731</v>
      </c>
      <c r="C488" s="30" t="s">
        <v>731</v>
      </c>
      <c r="D488" s="30" t="s">
        <v>541</v>
      </c>
      <c r="E488" s="30" t="s">
        <v>218</v>
      </c>
      <c r="F488" s="41">
        <f>F489</f>
        <v>6153</v>
      </c>
    </row>
    <row r="489" spans="1:6" s="50" customFormat="1" x14ac:dyDescent="0.2">
      <c r="A489" s="84" t="s">
        <v>219</v>
      </c>
      <c r="B489" s="30" t="s">
        <v>731</v>
      </c>
      <c r="C489" s="30" t="s">
        <v>731</v>
      </c>
      <c r="D489" s="30" t="s">
        <v>541</v>
      </c>
      <c r="E489" s="30" t="s">
        <v>224</v>
      </c>
      <c r="F489" s="41">
        <f>4726+1427</f>
        <v>6153</v>
      </c>
    </row>
    <row r="490" spans="1:6" s="50" customFormat="1" x14ac:dyDescent="0.2">
      <c r="A490" s="80" t="s">
        <v>225</v>
      </c>
      <c r="B490" s="24" t="s">
        <v>731</v>
      </c>
      <c r="C490" s="24" t="s">
        <v>731</v>
      </c>
      <c r="D490" s="24" t="s">
        <v>542</v>
      </c>
      <c r="E490" s="24"/>
      <c r="F490" s="42">
        <f>F491+F493</f>
        <v>193</v>
      </c>
    </row>
    <row r="491" spans="1:6" s="50" customFormat="1" x14ac:dyDescent="0.2">
      <c r="A491" s="84" t="s">
        <v>473</v>
      </c>
      <c r="B491" s="30" t="s">
        <v>731</v>
      </c>
      <c r="C491" s="30" t="s">
        <v>731</v>
      </c>
      <c r="D491" s="30" t="s">
        <v>542</v>
      </c>
      <c r="E491" s="30" t="s">
        <v>226</v>
      </c>
      <c r="F491" s="41">
        <f>F492</f>
        <v>190</v>
      </c>
    </row>
    <row r="492" spans="1:6" s="50" customFormat="1" x14ac:dyDescent="0.2">
      <c r="A492" s="84" t="s">
        <v>227</v>
      </c>
      <c r="B492" s="30" t="s">
        <v>731</v>
      </c>
      <c r="C492" s="30" t="s">
        <v>731</v>
      </c>
      <c r="D492" s="30" t="s">
        <v>542</v>
      </c>
      <c r="E492" s="30" t="s">
        <v>228</v>
      </c>
      <c r="F492" s="41">
        <v>190</v>
      </c>
    </row>
    <row r="493" spans="1:6" s="50" customFormat="1" x14ac:dyDescent="0.2">
      <c r="A493" s="84" t="s">
        <v>229</v>
      </c>
      <c r="B493" s="30" t="s">
        <v>731</v>
      </c>
      <c r="C493" s="30" t="s">
        <v>731</v>
      </c>
      <c r="D493" s="30" t="s">
        <v>542</v>
      </c>
      <c r="E493" s="30" t="s">
        <v>230</v>
      </c>
      <c r="F493" s="41">
        <f>F494</f>
        <v>3</v>
      </c>
    </row>
    <row r="494" spans="1:6" s="50" customFormat="1" x14ac:dyDescent="0.2">
      <c r="A494" s="84" t="s">
        <v>106</v>
      </c>
      <c r="B494" s="30" t="s">
        <v>731</v>
      </c>
      <c r="C494" s="30" t="s">
        <v>731</v>
      </c>
      <c r="D494" s="30" t="s">
        <v>542</v>
      </c>
      <c r="E494" s="30" t="s">
        <v>231</v>
      </c>
      <c r="F494" s="41">
        <f>3</f>
        <v>3</v>
      </c>
    </row>
    <row r="495" spans="1:6" s="50" customFormat="1" ht="27" x14ac:dyDescent="0.2">
      <c r="A495" s="86" t="s">
        <v>65</v>
      </c>
      <c r="B495" s="53" t="s">
        <v>731</v>
      </c>
      <c r="C495" s="53" t="s">
        <v>731</v>
      </c>
      <c r="D495" s="53" t="s">
        <v>410</v>
      </c>
      <c r="E495" s="53"/>
      <c r="F495" s="57">
        <f>F496+F507</f>
        <v>20675</v>
      </c>
    </row>
    <row r="496" spans="1:6" s="50" customFormat="1" x14ac:dyDescent="0.2">
      <c r="A496" s="80" t="s">
        <v>754</v>
      </c>
      <c r="B496" s="24" t="s">
        <v>731</v>
      </c>
      <c r="C496" s="24" t="s">
        <v>731</v>
      </c>
      <c r="D496" s="24" t="s">
        <v>276</v>
      </c>
      <c r="E496" s="30"/>
      <c r="F496" s="42">
        <f>F497</f>
        <v>14405</v>
      </c>
    </row>
    <row r="497" spans="1:6" s="50" customFormat="1" ht="24" x14ac:dyDescent="0.2">
      <c r="A497" s="80" t="s">
        <v>419</v>
      </c>
      <c r="B497" s="24" t="s">
        <v>731</v>
      </c>
      <c r="C497" s="24" t="s">
        <v>731</v>
      </c>
      <c r="D497" s="24" t="s">
        <v>276</v>
      </c>
      <c r="E497" s="30"/>
      <c r="F497" s="42">
        <f>F498</f>
        <v>14405</v>
      </c>
    </row>
    <row r="498" spans="1:6" s="50" customFormat="1" ht="24" x14ac:dyDescent="0.2">
      <c r="A498" s="83" t="s">
        <v>704</v>
      </c>
      <c r="B498" s="25" t="s">
        <v>731</v>
      </c>
      <c r="C498" s="25" t="s">
        <v>731</v>
      </c>
      <c r="D498" s="25" t="s">
        <v>276</v>
      </c>
      <c r="E498" s="25"/>
      <c r="F498" s="45">
        <f>F499+F502</f>
        <v>14405</v>
      </c>
    </row>
    <row r="499" spans="1:6" s="50" customFormat="1" x14ac:dyDescent="0.2">
      <c r="A499" s="82" t="s">
        <v>685</v>
      </c>
      <c r="B499" s="24" t="s">
        <v>731</v>
      </c>
      <c r="C499" s="24" t="s">
        <v>731</v>
      </c>
      <c r="D499" s="24" t="s">
        <v>82</v>
      </c>
      <c r="E499" s="24"/>
      <c r="F499" s="42">
        <f>F500</f>
        <v>12863</v>
      </c>
    </row>
    <row r="500" spans="1:6" s="50" customFormat="1" ht="24" x14ac:dyDescent="0.2">
      <c r="A500" s="84" t="s">
        <v>217</v>
      </c>
      <c r="B500" s="30" t="s">
        <v>731</v>
      </c>
      <c r="C500" s="30" t="s">
        <v>731</v>
      </c>
      <c r="D500" s="30" t="s">
        <v>82</v>
      </c>
      <c r="E500" s="30" t="s">
        <v>218</v>
      </c>
      <c r="F500" s="41">
        <f>F501</f>
        <v>12863</v>
      </c>
    </row>
    <row r="501" spans="1:6" s="50" customFormat="1" x14ac:dyDescent="0.2">
      <c r="A501" s="84" t="s">
        <v>219</v>
      </c>
      <c r="B501" s="30" t="s">
        <v>731</v>
      </c>
      <c r="C501" s="30" t="s">
        <v>731</v>
      </c>
      <c r="D501" s="30" t="s">
        <v>82</v>
      </c>
      <c r="E501" s="30" t="s">
        <v>224</v>
      </c>
      <c r="F501" s="41">
        <f>8600+2698+1565</f>
        <v>12863</v>
      </c>
    </row>
    <row r="502" spans="1:6" s="50" customFormat="1" x14ac:dyDescent="0.2">
      <c r="A502" s="80" t="s">
        <v>225</v>
      </c>
      <c r="B502" s="24" t="s">
        <v>731</v>
      </c>
      <c r="C502" s="24" t="s">
        <v>731</v>
      </c>
      <c r="D502" s="24" t="s">
        <v>83</v>
      </c>
      <c r="E502" s="24"/>
      <c r="F502" s="42">
        <f>F503+F505</f>
        <v>1542</v>
      </c>
    </row>
    <row r="503" spans="1:6" s="50" customFormat="1" x14ac:dyDescent="0.2">
      <c r="A503" s="84" t="s">
        <v>473</v>
      </c>
      <c r="B503" s="30" t="s">
        <v>731</v>
      </c>
      <c r="C503" s="30" t="s">
        <v>731</v>
      </c>
      <c r="D503" s="30" t="s">
        <v>83</v>
      </c>
      <c r="E503" s="30" t="s">
        <v>226</v>
      </c>
      <c r="F503" s="41">
        <f>F504</f>
        <v>1322</v>
      </c>
    </row>
    <row r="504" spans="1:6" s="50" customFormat="1" x14ac:dyDescent="0.2">
      <c r="A504" s="84" t="s">
        <v>227</v>
      </c>
      <c r="B504" s="30" t="s">
        <v>731</v>
      </c>
      <c r="C504" s="30" t="s">
        <v>731</v>
      </c>
      <c r="D504" s="30" t="s">
        <v>83</v>
      </c>
      <c r="E504" s="30" t="s">
        <v>228</v>
      </c>
      <c r="F504" s="41">
        <v>1322</v>
      </c>
    </row>
    <row r="505" spans="1:6" s="50" customFormat="1" x14ac:dyDescent="0.2">
      <c r="A505" s="84" t="s">
        <v>229</v>
      </c>
      <c r="B505" s="30" t="s">
        <v>731</v>
      </c>
      <c r="C505" s="30" t="s">
        <v>731</v>
      </c>
      <c r="D505" s="30" t="s">
        <v>83</v>
      </c>
      <c r="E505" s="30" t="s">
        <v>230</v>
      </c>
      <c r="F505" s="41">
        <f>F506</f>
        <v>220</v>
      </c>
    </row>
    <row r="506" spans="1:6" s="50" customFormat="1" x14ac:dyDescent="0.2">
      <c r="A506" s="84" t="s">
        <v>106</v>
      </c>
      <c r="B506" s="30" t="s">
        <v>731</v>
      </c>
      <c r="C506" s="30" t="s">
        <v>731</v>
      </c>
      <c r="D506" s="30" t="s">
        <v>83</v>
      </c>
      <c r="E506" s="30" t="s">
        <v>231</v>
      </c>
      <c r="F506" s="41">
        <f>30+190</f>
        <v>220</v>
      </c>
    </row>
    <row r="507" spans="1:6" s="50" customFormat="1" x14ac:dyDescent="0.2">
      <c r="A507" s="75" t="s">
        <v>199</v>
      </c>
      <c r="B507" s="24" t="s">
        <v>731</v>
      </c>
      <c r="C507" s="24" t="s">
        <v>731</v>
      </c>
      <c r="D507" s="43" t="s">
        <v>84</v>
      </c>
      <c r="E507" s="24"/>
      <c r="F507" s="42">
        <f>F508</f>
        <v>6270</v>
      </c>
    </row>
    <row r="508" spans="1:6" s="50" customFormat="1" x14ac:dyDescent="0.2">
      <c r="A508" s="85" t="s">
        <v>819</v>
      </c>
      <c r="B508" s="33" t="s">
        <v>731</v>
      </c>
      <c r="C508" s="33" t="s">
        <v>731</v>
      </c>
      <c r="D508" s="33" t="s">
        <v>84</v>
      </c>
      <c r="E508" s="33"/>
      <c r="F508" s="101">
        <f>F509+F511+F513</f>
        <v>6270</v>
      </c>
    </row>
    <row r="509" spans="1:6" s="50" customFormat="1" ht="24" x14ac:dyDescent="0.2">
      <c r="A509" s="84" t="s">
        <v>217</v>
      </c>
      <c r="B509" s="30" t="s">
        <v>731</v>
      </c>
      <c r="C509" s="30" t="s">
        <v>731</v>
      </c>
      <c r="D509" s="30" t="s">
        <v>84</v>
      </c>
      <c r="E509" s="30" t="s">
        <v>218</v>
      </c>
      <c r="F509" s="41">
        <f>F510</f>
        <v>4550</v>
      </c>
    </row>
    <row r="510" spans="1:6" s="50" customFormat="1" x14ac:dyDescent="0.2">
      <c r="A510" s="84" t="s">
        <v>820</v>
      </c>
      <c r="B510" s="30" t="s">
        <v>731</v>
      </c>
      <c r="C510" s="30" t="s">
        <v>731</v>
      </c>
      <c r="D510" s="30" t="s">
        <v>84</v>
      </c>
      <c r="E510" s="30" t="s">
        <v>821</v>
      </c>
      <c r="F510" s="41">
        <f>2500+750+1000+300</f>
        <v>4550</v>
      </c>
    </row>
    <row r="511" spans="1:6" s="50" customFormat="1" x14ac:dyDescent="0.2">
      <c r="A511" s="84" t="s">
        <v>473</v>
      </c>
      <c r="B511" s="30" t="s">
        <v>731</v>
      </c>
      <c r="C511" s="30" t="s">
        <v>731</v>
      </c>
      <c r="D511" s="30" t="s">
        <v>84</v>
      </c>
      <c r="E511" s="30" t="s">
        <v>226</v>
      </c>
      <c r="F511" s="41">
        <f>F512</f>
        <v>1299</v>
      </c>
    </row>
    <row r="512" spans="1:6" s="50" customFormat="1" x14ac:dyDescent="0.2">
      <c r="A512" s="84" t="s">
        <v>227</v>
      </c>
      <c r="B512" s="30" t="s">
        <v>731</v>
      </c>
      <c r="C512" s="30" t="s">
        <v>731</v>
      </c>
      <c r="D512" s="30" t="s">
        <v>84</v>
      </c>
      <c r="E512" s="30" t="s">
        <v>228</v>
      </c>
      <c r="F512" s="41">
        <v>1299</v>
      </c>
    </row>
    <row r="513" spans="1:6" s="50" customFormat="1" x14ac:dyDescent="0.2">
      <c r="A513" s="84" t="s">
        <v>229</v>
      </c>
      <c r="B513" s="30" t="s">
        <v>731</v>
      </c>
      <c r="C513" s="30" t="s">
        <v>731</v>
      </c>
      <c r="D513" s="30" t="s">
        <v>84</v>
      </c>
      <c r="E513" s="30" t="s">
        <v>230</v>
      </c>
      <c r="F513" s="41">
        <f>F514</f>
        <v>421</v>
      </c>
    </row>
    <row r="514" spans="1:6" s="50" customFormat="1" x14ac:dyDescent="0.2">
      <c r="A514" s="84" t="s">
        <v>106</v>
      </c>
      <c r="B514" s="30" t="s">
        <v>731</v>
      </c>
      <c r="C514" s="30" t="s">
        <v>731</v>
      </c>
      <c r="D514" s="30" t="s">
        <v>84</v>
      </c>
      <c r="E514" s="30" t="s">
        <v>231</v>
      </c>
      <c r="F514" s="41">
        <f>412+9</f>
        <v>421</v>
      </c>
    </row>
    <row r="515" spans="1:6" s="50" customFormat="1" x14ac:dyDescent="0.2">
      <c r="A515" s="81" t="s">
        <v>212</v>
      </c>
      <c r="B515" s="25" t="s">
        <v>731</v>
      </c>
      <c r="C515" s="25" t="s">
        <v>731</v>
      </c>
      <c r="D515" s="25" t="s">
        <v>382</v>
      </c>
      <c r="E515" s="25"/>
      <c r="F515" s="45">
        <f>F516</f>
        <v>6138</v>
      </c>
    </row>
    <row r="516" spans="1:6" s="50" customFormat="1" x14ac:dyDescent="0.2">
      <c r="A516" s="82" t="s">
        <v>476</v>
      </c>
      <c r="B516" s="24" t="s">
        <v>731</v>
      </c>
      <c r="C516" s="24" t="s">
        <v>731</v>
      </c>
      <c r="D516" s="24" t="s">
        <v>383</v>
      </c>
      <c r="E516" s="30"/>
      <c r="F516" s="42">
        <f>F517</f>
        <v>6138</v>
      </c>
    </row>
    <row r="517" spans="1:6" s="50" customFormat="1" ht="24" x14ac:dyDescent="0.2">
      <c r="A517" s="83" t="s">
        <v>704</v>
      </c>
      <c r="B517" s="24" t="s">
        <v>731</v>
      </c>
      <c r="C517" s="24" t="s">
        <v>731</v>
      </c>
      <c r="D517" s="24" t="s">
        <v>383</v>
      </c>
      <c r="E517" s="30"/>
      <c r="F517" s="42">
        <f>F518+F521</f>
        <v>6138</v>
      </c>
    </row>
    <row r="518" spans="1:6" s="50" customFormat="1" x14ac:dyDescent="0.2">
      <c r="A518" s="82" t="s">
        <v>685</v>
      </c>
      <c r="B518" s="24" t="s">
        <v>731</v>
      </c>
      <c r="C518" s="24" t="s">
        <v>731</v>
      </c>
      <c r="D518" s="24" t="s">
        <v>384</v>
      </c>
      <c r="E518" s="24"/>
      <c r="F518" s="42">
        <f>F519</f>
        <v>5388</v>
      </c>
    </row>
    <row r="519" spans="1:6" s="50" customFormat="1" ht="24" x14ac:dyDescent="0.2">
      <c r="A519" s="84" t="s">
        <v>217</v>
      </c>
      <c r="B519" s="30" t="s">
        <v>731</v>
      </c>
      <c r="C519" s="30" t="s">
        <v>731</v>
      </c>
      <c r="D519" s="30" t="s">
        <v>384</v>
      </c>
      <c r="E519" s="30" t="s">
        <v>218</v>
      </c>
      <c r="F519" s="41">
        <f>F520</f>
        <v>5388</v>
      </c>
    </row>
    <row r="520" spans="1:6" s="50" customFormat="1" x14ac:dyDescent="0.2">
      <c r="A520" s="84" t="s">
        <v>219</v>
      </c>
      <c r="B520" s="30" t="s">
        <v>731</v>
      </c>
      <c r="C520" s="30" t="s">
        <v>731</v>
      </c>
      <c r="D520" s="30" t="s">
        <v>384</v>
      </c>
      <c r="E520" s="30" t="s">
        <v>224</v>
      </c>
      <c r="F520" s="41">
        <f>4100+50+1238</f>
        <v>5388</v>
      </c>
    </row>
    <row r="521" spans="1:6" s="50" customFormat="1" x14ac:dyDescent="0.2">
      <c r="A521" s="80" t="s">
        <v>225</v>
      </c>
      <c r="B521" s="24" t="s">
        <v>731</v>
      </c>
      <c r="C521" s="24" t="s">
        <v>731</v>
      </c>
      <c r="D521" s="24" t="s">
        <v>385</v>
      </c>
      <c r="E521" s="24"/>
      <c r="F521" s="42">
        <f>F522+F524</f>
        <v>750</v>
      </c>
    </row>
    <row r="522" spans="1:6" s="50" customFormat="1" x14ac:dyDescent="0.2">
      <c r="A522" s="84" t="s">
        <v>473</v>
      </c>
      <c r="B522" s="30" t="s">
        <v>731</v>
      </c>
      <c r="C522" s="30" t="s">
        <v>731</v>
      </c>
      <c r="D522" s="30" t="s">
        <v>385</v>
      </c>
      <c r="E522" s="30" t="s">
        <v>226</v>
      </c>
      <c r="F522" s="41">
        <f>F523</f>
        <v>705</v>
      </c>
    </row>
    <row r="523" spans="1:6" s="50" customFormat="1" x14ac:dyDescent="0.2">
      <c r="A523" s="84" t="s">
        <v>227</v>
      </c>
      <c r="B523" s="30" t="s">
        <v>731</v>
      </c>
      <c r="C523" s="30" t="s">
        <v>731</v>
      </c>
      <c r="D523" s="30" t="s">
        <v>385</v>
      </c>
      <c r="E523" s="30" t="s">
        <v>228</v>
      </c>
      <c r="F523" s="41">
        <f>740-150+115</f>
        <v>705</v>
      </c>
    </row>
    <row r="524" spans="1:6" s="50" customFormat="1" x14ac:dyDescent="0.2">
      <c r="A524" s="84" t="s">
        <v>229</v>
      </c>
      <c r="B524" s="30" t="s">
        <v>731</v>
      </c>
      <c r="C524" s="30" t="s">
        <v>731</v>
      </c>
      <c r="D524" s="30" t="s">
        <v>385</v>
      </c>
      <c r="E524" s="30" t="s">
        <v>230</v>
      </c>
      <c r="F524" s="41">
        <f>F525</f>
        <v>45</v>
      </c>
    </row>
    <row r="525" spans="1:6" s="50" customFormat="1" x14ac:dyDescent="0.2">
      <c r="A525" s="84" t="s">
        <v>106</v>
      </c>
      <c r="B525" s="30" t="s">
        <v>731</v>
      </c>
      <c r="C525" s="30" t="s">
        <v>731</v>
      </c>
      <c r="D525" s="30" t="s">
        <v>385</v>
      </c>
      <c r="E525" s="30" t="s">
        <v>231</v>
      </c>
      <c r="F525" s="41">
        <f>160-115</f>
        <v>45</v>
      </c>
    </row>
    <row r="526" spans="1:6" s="50" customFormat="1" x14ac:dyDescent="0.2">
      <c r="A526" s="80" t="s">
        <v>497</v>
      </c>
      <c r="B526" s="24" t="s">
        <v>474</v>
      </c>
      <c r="C526" s="24" t="s">
        <v>215</v>
      </c>
      <c r="D526" s="24"/>
      <c r="E526" s="24"/>
      <c r="F526" s="42">
        <f>F527</f>
        <v>2200</v>
      </c>
    </row>
    <row r="527" spans="1:6" s="50" customFormat="1" x14ac:dyDescent="0.2">
      <c r="A527" s="80" t="s">
        <v>498</v>
      </c>
      <c r="B527" s="24" t="s">
        <v>474</v>
      </c>
      <c r="C527" s="24" t="s">
        <v>817</v>
      </c>
      <c r="D527" s="24"/>
      <c r="E527" s="24"/>
      <c r="F527" s="42">
        <f>F528</f>
        <v>2200</v>
      </c>
    </row>
    <row r="528" spans="1:6" s="50" customFormat="1" ht="27" x14ac:dyDescent="0.2">
      <c r="A528" s="86" t="s">
        <v>549</v>
      </c>
      <c r="B528" s="53" t="s">
        <v>474</v>
      </c>
      <c r="C528" s="53" t="s">
        <v>817</v>
      </c>
      <c r="D528" s="53" t="s">
        <v>444</v>
      </c>
      <c r="E528" s="30"/>
      <c r="F528" s="57">
        <f>F529+F532</f>
        <v>2200</v>
      </c>
    </row>
    <row r="529" spans="1:6" s="50" customFormat="1" x14ac:dyDescent="0.2">
      <c r="A529" s="75" t="s">
        <v>499</v>
      </c>
      <c r="B529" s="24" t="s">
        <v>474</v>
      </c>
      <c r="C529" s="24" t="s">
        <v>817</v>
      </c>
      <c r="D529" s="106" t="s">
        <v>496</v>
      </c>
      <c r="E529" s="24"/>
      <c r="F529" s="117">
        <f>F530</f>
        <v>400</v>
      </c>
    </row>
    <row r="530" spans="1:6" s="50" customFormat="1" x14ac:dyDescent="0.2">
      <c r="A530" s="84" t="s">
        <v>394</v>
      </c>
      <c r="B530" s="30" t="s">
        <v>474</v>
      </c>
      <c r="C530" s="30" t="s">
        <v>817</v>
      </c>
      <c r="D530" s="96" t="s">
        <v>496</v>
      </c>
      <c r="E530" s="30" t="s">
        <v>733</v>
      </c>
      <c r="F530" s="118">
        <f>F531</f>
        <v>400</v>
      </c>
    </row>
    <row r="531" spans="1:6" s="50" customFormat="1" x14ac:dyDescent="0.2">
      <c r="A531" s="84" t="s">
        <v>734</v>
      </c>
      <c r="B531" s="30" t="s">
        <v>474</v>
      </c>
      <c r="C531" s="30" t="s">
        <v>817</v>
      </c>
      <c r="D531" s="96" t="s">
        <v>496</v>
      </c>
      <c r="E531" s="30" t="s">
        <v>735</v>
      </c>
      <c r="F531" s="118">
        <f>3000-2600</f>
        <v>400</v>
      </c>
    </row>
    <row r="532" spans="1:6" s="50" customFormat="1" x14ac:dyDescent="0.2">
      <c r="A532" s="75" t="s">
        <v>286</v>
      </c>
      <c r="B532" s="24" t="s">
        <v>474</v>
      </c>
      <c r="C532" s="24" t="s">
        <v>817</v>
      </c>
      <c r="D532" s="106" t="s">
        <v>846</v>
      </c>
      <c r="E532" s="24"/>
      <c r="F532" s="42">
        <f>F533</f>
        <v>1800</v>
      </c>
    </row>
    <row r="533" spans="1:6" s="50" customFormat="1" x14ac:dyDescent="0.2">
      <c r="A533" s="84" t="s">
        <v>394</v>
      </c>
      <c r="B533" s="30" t="s">
        <v>474</v>
      </c>
      <c r="C533" s="30" t="s">
        <v>817</v>
      </c>
      <c r="D533" s="30" t="s">
        <v>846</v>
      </c>
      <c r="E533" s="30" t="s">
        <v>733</v>
      </c>
      <c r="F533" s="41">
        <f>F534</f>
        <v>1800</v>
      </c>
    </row>
    <row r="534" spans="1:6" s="50" customFormat="1" x14ac:dyDescent="0.2">
      <c r="A534" s="84" t="s">
        <v>734</v>
      </c>
      <c r="B534" s="30" t="s">
        <v>474</v>
      </c>
      <c r="C534" s="30" t="s">
        <v>817</v>
      </c>
      <c r="D534" s="30" t="s">
        <v>846</v>
      </c>
      <c r="E534" s="30" t="s">
        <v>735</v>
      </c>
      <c r="F534" s="41">
        <f>1300+500</f>
        <v>1800</v>
      </c>
    </row>
    <row r="535" spans="1:6" s="50" customFormat="1" x14ac:dyDescent="0.2">
      <c r="A535" s="80" t="s">
        <v>673</v>
      </c>
      <c r="B535" s="24" t="s">
        <v>824</v>
      </c>
      <c r="C535" s="24" t="s">
        <v>215</v>
      </c>
      <c r="D535" s="30"/>
      <c r="E535" s="30"/>
      <c r="F535" s="35">
        <f>F536+F554+F570+F596+F620</f>
        <v>2748258.1535999998</v>
      </c>
    </row>
    <row r="536" spans="1:6" s="50" customFormat="1" x14ac:dyDescent="0.2">
      <c r="A536" s="80" t="s">
        <v>674</v>
      </c>
      <c r="B536" s="24" t="s">
        <v>824</v>
      </c>
      <c r="C536" s="24" t="s">
        <v>214</v>
      </c>
      <c r="D536" s="24"/>
      <c r="E536" s="24"/>
      <c r="F536" s="42">
        <f>F537+F550</f>
        <v>1140257.3536</v>
      </c>
    </row>
    <row r="537" spans="1:6" s="50" customFormat="1" ht="27" x14ac:dyDescent="0.2">
      <c r="A537" s="86" t="s">
        <v>831</v>
      </c>
      <c r="B537" s="53" t="s">
        <v>824</v>
      </c>
      <c r="C537" s="53" t="s">
        <v>214</v>
      </c>
      <c r="D537" s="53" t="s">
        <v>323</v>
      </c>
      <c r="E537" s="53"/>
      <c r="F537" s="57">
        <f>F538</f>
        <v>1138032.2535999999</v>
      </c>
    </row>
    <row r="538" spans="1:6" s="50" customFormat="1" x14ac:dyDescent="0.2">
      <c r="A538" s="80" t="s">
        <v>445</v>
      </c>
      <c r="B538" s="24" t="s">
        <v>824</v>
      </c>
      <c r="C538" s="24" t="s">
        <v>214</v>
      </c>
      <c r="D538" s="24" t="s">
        <v>324</v>
      </c>
      <c r="E538" s="24"/>
      <c r="F538" s="42">
        <f>F539+F543+F547</f>
        <v>1138032.2535999999</v>
      </c>
    </row>
    <row r="539" spans="1:6" s="50" customFormat="1" ht="24" x14ac:dyDescent="0.2">
      <c r="A539" s="83" t="s">
        <v>446</v>
      </c>
      <c r="B539" s="25" t="s">
        <v>824</v>
      </c>
      <c r="C539" s="25" t="s">
        <v>214</v>
      </c>
      <c r="D539" s="25" t="s">
        <v>325</v>
      </c>
      <c r="E539" s="25"/>
      <c r="F539" s="45">
        <f>F540</f>
        <v>449717.15360000002</v>
      </c>
    </row>
    <row r="540" spans="1:6" s="50" customFormat="1" x14ac:dyDescent="0.2">
      <c r="A540" s="84" t="s">
        <v>246</v>
      </c>
      <c r="B540" s="30" t="s">
        <v>824</v>
      </c>
      <c r="C540" s="30" t="s">
        <v>214</v>
      </c>
      <c r="D540" s="30" t="s">
        <v>832</v>
      </c>
      <c r="E540" s="30" t="s">
        <v>702</v>
      </c>
      <c r="F540" s="41">
        <f>F541+F542</f>
        <v>449717.15360000002</v>
      </c>
    </row>
    <row r="541" spans="1:6" s="50" customFormat="1" x14ac:dyDescent="0.2">
      <c r="A541" s="84" t="s">
        <v>247</v>
      </c>
      <c r="B541" s="30" t="s">
        <v>824</v>
      </c>
      <c r="C541" s="30" t="s">
        <v>214</v>
      </c>
      <c r="D541" s="30" t="s">
        <v>832</v>
      </c>
      <c r="E541" s="30" t="s">
        <v>724</v>
      </c>
      <c r="F541" s="41">
        <f>460668.5+10000-44882.2464-4122-2725.1-5648.5-1619.27513</f>
        <v>411671.37847</v>
      </c>
    </row>
    <row r="542" spans="1:6" s="50" customFormat="1" x14ac:dyDescent="0.2">
      <c r="A542" s="84" t="s">
        <v>108</v>
      </c>
      <c r="B542" s="30" t="s">
        <v>824</v>
      </c>
      <c r="C542" s="30" t="s">
        <v>214</v>
      </c>
      <c r="D542" s="30" t="s">
        <v>832</v>
      </c>
      <c r="E542" s="30" t="s">
        <v>109</v>
      </c>
      <c r="F542" s="41">
        <f>32778-2000+5648.5+1619.27513</f>
        <v>38045.775130000002</v>
      </c>
    </row>
    <row r="543" spans="1:6" s="50" customFormat="1" ht="36" x14ac:dyDescent="0.2">
      <c r="A543" s="83" t="s">
        <v>656</v>
      </c>
      <c r="B543" s="25" t="s">
        <v>824</v>
      </c>
      <c r="C543" s="25" t="s">
        <v>214</v>
      </c>
      <c r="D543" s="25" t="s">
        <v>326</v>
      </c>
      <c r="E543" s="25"/>
      <c r="F543" s="45">
        <f>F544</f>
        <v>685235.19999999995</v>
      </c>
    </row>
    <row r="544" spans="1:6" s="50" customFormat="1" x14ac:dyDescent="0.2">
      <c r="A544" s="84" t="s">
        <v>246</v>
      </c>
      <c r="B544" s="30" t="s">
        <v>824</v>
      </c>
      <c r="C544" s="30" t="s">
        <v>214</v>
      </c>
      <c r="D544" s="30" t="s">
        <v>326</v>
      </c>
      <c r="E544" s="30" t="s">
        <v>702</v>
      </c>
      <c r="F544" s="41">
        <f>F545+F546</f>
        <v>685235.19999999995</v>
      </c>
    </row>
    <row r="545" spans="1:6" s="50" customFormat="1" x14ac:dyDescent="0.2">
      <c r="A545" s="84" t="s">
        <v>247</v>
      </c>
      <c r="B545" s="30" t="s">
        <v>824</v>
      </c>
      <c r="C545" s="30" t="s">
        <v>214</v>
      </c>
      <c r="D545" s="30" t="s">
        <v>326</v>
      </c>
      <c r="E545" s="30" t="s">
        <v>724</v>
      </c>
      <c r="F545" s="41">
        <v>643035.19999999995</v>
      </c>
    </row>
    <row r="546" spans="1:6" s="50" customFormat="1" x14ac:dyDescent="0.2">
      <c r="A546" s="84" t="s">
        <v>108</v>
      </c>
      <c r="B546" s="30" t="s">
        <v>824</v>
      </c>
      <c r="C546" s="30" t="s">
        <v>214</v>
      </c>
      <c r="D546" s="30" t="s">
        <v>326</v>
      </c>
      <c r="E546" s="30" t="s">
        <v>109</v>
      </c>
      <c r="F546" s="41">
        <v>42200</v>
      </c>
    </row>
    <row r="547" spans="1:6" s="50" customFormat="1" ht="24" x14ac:dyDescent="0.2">
      <c r="A547" s="80" t="s">
        <v>491</v>
      </c>
      <c r="B547" s="24" t="s">
        <v>824</v>
      </c>
      <c r="C547" s="24" t="s">
        <v>214</v>
      </c>
      <c r="D547" s="24" t="s">
        <v>482</v>
      </c>
      <c r="E547" s="24"/>
      <c r="F547" s="42">
        <f>F548</f>
        <v>3079.9</v>
      </c>
    </row>
    <row r="548" spans="1:6" s="50" customFormat="1" x14ac:dyDescent="0.2">
      <c r="A548" s="84" t="s">
        <v>246</v>
      </c>
      <c r="B548" s="30" t="s">
        <v>824</v>
      </c>
      <c r="C548" s="30" t="s">
        <v>214</v>
      </c>
      <c r="D548" s="30" t="s">
        <v>482</v>
      </c>
      <c r="E548" s="30" t="s">
        <v>702</v>
      </c>
      <c r="F548" s="41">
        <f>F549</f>
        <v>3079.9</v>
      </c>
    </row>
    <row r="549" spans="1:6" s="50" customFormat="1" x14ac:dyDescent="0.2">
      <c r="A549" s="84" t="s">
        <v>247</v>
      </c>
      <c r="B549" s="30" t="s">
        <v>824</v>
      </c>
      <c r="C549" s="30" t="s">
        <v>214</v>
      </c>
      <c r="D549" s="30" t="s">
        <v>482</v>
      </c>
      <c r="E549" s="30" t="s">
        <v>724</v>
      </c>
      <c r="F549" s="41">
        <v>3079.9</v>
      </c>
    </row>
    <row r="550" spans="1:6" s="50" customFormat="1" ht="27" x14ac:dyDescent="0.2">
      <c r="A550" s="86" t="s">
        <v>549</v>
      </c>
      <c r="B550" s="53" t="s">
        <v>824</v>
      </c>
      <c r="C550" s="53" t="s">
        <v>214</v>
      </c>
      <c r="D550" s="53" t="s">
        <v>444</v>
      </c>
      <c r="E550" s="53"/>
      <c r="F550" s="57">
        <f>F551</f>
        <v>2225.1</v>
      </c>
    </row>
    <row r="551" spans="1:6" s="50" customFormat="1" ht="36" x14ac:dyDescent="0.2">
      <c r="A551" s="80" t="s">
        <v>150</v>
      </c>
      <c r="B551" s="24" t="s">
        <v>824</v>
      </c>
      <c r="C551" s="24" t="s">
        <v>214</v>
      </c>
      <c r="D551" s="24" t="s">
        <v>484</v>
      </c>
      <c r="E551" s="24"/>
      <c r="F551" s="42">
        <f>F552</f>
        <v>2225.1</v>
      </c>
    </row>
    <row r="552" spans="1:6" s="50" customFormat="1" x14ac:dyDescent="0.2">
      <c r="A552" s="84" t="s">
        <v>322</v>
      </c>
      <c r="B552" s="30" t="s">
        <v>824</v>
      </c>
      <c r="C552" s="30" t="s">
        <v>214</v>
      </c>
      <c r="D552" s="30" t="s">
        <v>484</v>
      </c>
      <c r="E552" s="30" t="s">
        <v>226</v>
      </c>
      <c r="F552" s="41">
        <f>F553</f>
        <v>2225.1</v>
      </c>
    </row>
    <row r="553" spans="1:6" s="50" customFormat="1" x14ac:dyDescent="0.2">
      <c r="A553" s="84" t="s">
        <v>227</v>
      </c>
      <c r="B553" s="30" t="s">
        <v>824</v>
      </c>
      <c r="C553" s="30" t="s">
        <v>214</v>
      </c>
      <c r="D553" s="30" t="s">
        <v>484</v>
      </c>
      <c r="E553" s="30" t="s">
        <v>228</v>
      </c>
      <c r="F553" s="41">
        <v>2225.1</v>
      </c>
    </row>
    <row r="554" spans="1:6" s="50" customFormat="1" x14ac:dyDescent="0.2">
      <c r="A554" s="80" t="s">
        <v>675</v>
      </c>
      <c r="B554" s="24" t="s">
        <v>824</v>
      </c>
      <c r="C554" s="24" t="s">
        <v>825</v>
      </c>
      <c r="D554" s="24"/>
      <c r="E554" s="25"/>
      <c r="F554" s="42">
        <f>F555</f>
        <v>1184610.8</v>
      </c>
    </row>
    <row r="555" spans="1:6" s="50" customFormat="1" ht="27" x14ac:dyDescent="0.2">
      <c r="A555" s="86" t="s">
        <v>831</v>
      </c>
      <c r="B555" s="53" t="s">
        <v>824</v>
      </c>
      <c r="C555" s="53" t="s">
        <v>825</v>
      </c>
      <c r="D555" s="53" t="s">
        <v>323</v>
      </c>
      <c r="E555" s="53"/>
      <c r="F555" s="57">
        <f>F556+F565</f>
        <v>1184610.8</v>
      </c>
    </row>
    <row r="556" spans="1:6" s="50" customFormat="1" x14ac:dyDescent="0.2">
      <c r="A556" s="80" t="s">
        <v>445</v>
      </c>
      <c r="B556" s="24" t="s">
        <v>824</v>
      </c>
      <c r="C556" s="24" t="s">
        <v>825</v>
      </c>
      <c r="D556" s="24" t="s">
        <v>324</v>
      </c>
      <c r="E556" s="24"/>
      <c r="F556" s="42">
        <f>F557+F561</f>
        <v>1164610.8</v>
      </c>
    </row>
    <row r="557" spans="1:6" s="50" customFormat="1" x14ac:dyDescent="0.2">
      <c r="A557" s="85" t="s">
        <v>447</v>
      </c>
      <c r="B557" s="33" t="s">
        <v>824</v>
      </c>
      <c r="C557" s="33" t="s">
        <v>825</v>
      </c>
      <c r="D557" s="33" t="s">
        <v>329</v>
      </c>
      <c r="E557" s="33"/>
      <c r="F557" s="101">
        <f>F558</f>
        <v>288167.8</v>
      </c>
    </row>
    <row r="558" spans="1:6" s="50" customFormat="1" x14ac:dyDescent="0.2">
      <c r="A558" s="84" t="s">
        <v>246</v>
      </c>
      <c r="B558" s="30" t="s">
        <v>824</v>
      </c>
      <c r="C558" s="30" t="s">
        <v>825</v>
      </c>
      <c r="D558" s="30" t="s">
        <v>833</v>
      </c>
      <c r="E558" s="30" t="s">
        <v>702</v>
      </c>
      <c r="F558" s="41">
        <f>F559+F560</f>
        <v>288167.8</v>
      </c>
    </row>
    <row r="559" spans="1:6" s="50" customFormat="1" x14ac:dyDescent="0.2">
      <c r="A559" s="84" t="s">
        <v>247</v>
      </c>
      <c r="B559" s="30" t="s">
        <v>824</v>
      </c>
      <c r="C559" s="30" t="s">
        <v>825</v>
      </c>
      <c r="D559" s="30" t="s">
        <v>833</v>
      </c>
      <c r="E559" s="30" t="s">
        <v>724</v>
      </c>
      <c r="F559" s="41">
        <f>272913.8+10000-4400</f>
        <v>278513.8</v>
      </c>
    </row>
    <row r="560" spans="1:6" s="50" customFormat="1" x14ac:dyDescent="0.2">
      <c r="A560" s="84" t="s">
        <v>108</v>
      </c>
      <c r="B560" s="30" t="s">
        <v>824</v>
      </c>
      <c r="C560" s="30" t="s">
        <v>825</v>
      </c>
      <c r="D560" s="30" t="s">
        <v>833</v>
      </c>
      <c r="E560" s="30" t="s">
        <v>109</v>
      </c>
      <c r="F560" s="41">
        <v>9654</v>
      </c>
    </row>
    <row r="561" spans="1:6" s="50" customFormat="1" ht="48" x14ac:dyDescent="0.2">
      <c r="A561" s="62" t="s">
        <v>664</v>
      </c>
      <c r="B561" s="25" t="s">
        <v>824</v>
      </c>
      <c r="C561" s="25" t="s">
        <v>825</v>
      </c>
      <c r="D561" s="25" t="s">
        <v>448</v>
      </c>
      <c r="E561" s="25"/>
      <c r="F561" s="45">
        <f>F562</f>
        <v>876443</v>
      </c>
    </row>
    <row r="562" spans="1:6" s="50" customFormat="1" x14ac:dyDescent="0.2">
      <c r="A562" s="84" t="s">
        <v>246</v>
      </c>
      <c r="B562" s="30" t="s">
        <v>824</v>
      </c>
      <c r="C562" s="30" t="s">
        <v>825</v>
      </c>
      <c r="D562" s="30" t="s">
        <v>448</v>
      </c>
      <c r="E562" s="30" t="s">
        <v>702</v>
      </c>
      <c r="F562" s="41">
        <f>F563+F564</f>
        <v>876443</v>
      </c>
    </row>
    <row r="563" spans="1:6" s="50" customFormat="1" x14ac:dyDescent="0.2">
      <c r="A563" s="84" t="s">
        <v>247</v>
      </c>
      <c r="B563" s="30" t="s">
        <v>824</v>
      </c>
      <c r="C563" s="30" t="s">
        <v>825</v>
      </c>
      <c r="D563" s="30" t="s">
        <v>448</v>
      </c>
      <c r="E563" s="30" t="s">
        <v>724</v>
      </c>
      <c r="F563" s="41">
        <f>837118+4600</f>
        <v>841718</v>
      </c>
    </row>
    <row r="564" spans="1:6" s="50" customFormat="1" x14ac:dyDescent="0.2">
      <c r="A564" s="84" t="s">
        <v>108</v>
      </c>
      <c r="B564" s="30" t="s">
        <v>824</v>
      </c>
      <c r="C564" s="30" t="s">
        <v>825</v>
      </c>
      <c r="D564" s="30" t="s">
        <v>448</v>
      </c>
      <c r="E564" s="30" t="s">
        <v>109</v>
      </c>
      <c r="F564" s="41">
        <v>34725</v>
      </c>
    </row>
    <row r="565" spans="1:6" s="50" customFormat="1" x14ac:dyDescent="0.2">
      <c r="A565" s="80" t="s">
        <v>461</v>
      </c>
      <c r="B565" s="24" t="s">
        <v>824</v>
      </c>
      <c r="C565" s="24" t="s">
        <v>825</v>
      </c>
      <c r="D565" s="24" t="s">
        <v>332</v>
      </c>
      <c r="E565" s="24"/>
      <c r="F565" s="42">
        <f>F566</f>
        <v>20000</v>
      </c>
    </row>
    <row r="566" spans="1:6" s="50" customFormat="1" x14ac:dyDescent="0.2">
      <c r="A566" s="123" t="s">
        <v>342</v>
      </c>
      <c r="B566" s="25" t="s">
        <v>824</v>
      </c>
      <c r="C566" s="25" t="s">
        <v>825</v>
      </c>
      <c r="D566" s="25" t="s">
        <v>834</v>
      </c>
      <c r="E566" s="25"/>
      <c r="F566" s="45">
        <f>F567</f>
        <v>20000</v>
      </c>
    </row>
    <row r="567" spans="1:6" s="50" customFormat="1" x14ac:dyDescent="0.2">
      <c r="A567" s="84" t="s">
        <v>246</v>
      </c>
      <c r="B567" s="30" t="s">
        <v>824</v>
      </c>
      <c r="C567" s="30" t="s">
        <v>825</v>
      </c>
      <c r="D567" s="30" t="s">
        <v>835</v>
      </c>
      <c r="E567" s="30" t="s">
        <v>702</v>
      </c>
      <c r="F567" s="41">
        <f>F568+F569</f>
        <v>20000</v>
      </c>
    </row>
    <row r="568" spans="1:6" s="50" customFormat="1" x14ac:dyDescent="0.2">
      <c r="A568" s="84" t="s">
        <v>247</v>
      </c>
      <c r="B568" s="30" t="s">
        <v>824</v>
      </c>
      <c r="C568" s="30" t="s">
        <v>825</v>
      </c>
      <c r="D568" s="30" t="s">
        <v>835</v>
      </c>
      <c r="E568" s="30" t="s">
        <v>724</v>
      </c>
      <c r="F568" s="41">
        <v>19142</v>
      </c>
    </row>
    <row r="569" spans="1:6" s="50" customFormat="1" x14ac:dyDescent="0.2">
      <c r="A569" s="84" t="s">
        <v>108</v>
      </c>
      <c r="B569" s="30" t="s">
        <v>824</v>
      </c>
      <c r="C569" s="30" t="s">
        <v>825</v>
      </c>
      <c r="D569" s="30" t="s">
        <v>835</v>
      </c>
      <c r="E569" s="30" t="s">
        <v>109</v>
      </c>
      <c r="F569" s="41">
        <v>858</v>
      </c>
    </row>
    <row r="570" spans="1:6" s="32" customFormat="1" x14ac:dyDescent="0.2">
      <c r="A570" s="80" t="s">
        <v>449</v>
      </c>
      <c r="B570" s="24" t="s">
        <v>824</v>
      </c>
      <c r="C570" s="24" t="s">
        <v>817</v>
      </c>
      <c r="D570" s="24"/>
      <c r="E570" s="24"/>
      <c r="F570" s="42">
        <f>F571+F580+F590+F586</f>
        <v>219951.19999999998</v>
      </c>
    </row>
    <row r="571" spans="1:6" s="32" customFormat="1" ht="27" x14ac:dyDescent="0.2">
      <c r="A571" s="86" t="s">
        <v>831</v>
      </c>
      <c r="B571" s="53" t="s">
        <v>824</v>
      </c>
      <c r="C571" s="53" t="s">
        <v>817</v>
      </c>
      <c r="D571" s="53" t="s">
        <v>323</v>
      </c>
      <c r="E571" s="33"/>
      <c r="F571" s="57">
        <f>F572</f>
        <v>98134.2</v>
      </c>
    </row>
    <row r="572" spans="1:6" s="32" customFormat="1" x14ac:dyDescent="0.2">
      <c r="A572" s="80" t="s">
        <v>445</v>
      </c>
      <c r="B572" s="24" t="s">
        <v>824</v>
      </c>
      <c r="C572" s="24" t="s">
        <v>817</v>
      </c>
      <c r="D572" s="24" t="s">
        <v>324</v>
      </c>
      <c r="E572" s="30"/>
      <c r="F572" s="42">
        <f>F573+F577</f>
        <v>98134.2</v>
      </c>
    </row>
    <row r="573" spans="1:6" s="32" customFormat="1" x14ac:dyDescent="0.2">
      <c r="A573" s="83" t="s">
        <v>450</v>
      </c>
      <c r="B573" s="25" t="s">
        <v>824</v>
      </c>
      <c r="C573" s="25" t="s">
        <v>817</v>
      </c>
      <c r="D573" s="25" t="s">
        <v>330</v>
      </c>
      <c r="E573" s="25"/>
      <c r="F573" s="45">
        <f>F574</f>
        <v>97634.2</v>
      </c>
    </row>
    <row r="574" spans="1:6" s="32" customFormat="1" x14ac:dyDescent="0.2">
      <c r="A574" s="84" t="s">
        <v>246</v>
      </c>
      <c r="B574" s="30" t="s">
        <v>824</v>
      </c>
      <c r="C574" s="30" t="s">
        <v>817</v>
      </c>
      <c r="D574" s="30" t="s">
        <v>836</v>
      </c>
      <c r="E574" s="30" t="s">
        <v>702</v>
      </c>
      <c r="F574" s="41">
        <f>F575+F576</f>
        <v>97634.2</v>
      </c>
    </row>
    <row r="575" spans="1:6" s="32" customFormat="1" x14ac:dyDescent="0.2">
      <c r="A575" s="84" t="s">
        <v>247</v>
      </c>
      <c r="B575" s="30" t="s">
        <v>824</v>
      </c>
      <c r="C575" s="30" t="s">
        <v>817</v>
      </c>
      <c r="D575" s="30" t="s">
        <v>836</v>
      </c>
      <c r="E575" s="30" t="s">
        <v>724</v>
      </c>
      <c r="F575" s="41">
        <v>2873</v>
      </c>
    </row>
    <row r="576" spans="1:6" s="32" customFormat="1" x14ac:dyDescent="0.2">
      <c r="A576" s="84" t="s">
        <v>108</v>
      </c>
      <c r="B576" s="30" t="s">
        <v>824</v>
      </c>
      <c r="C576" s="30" t="s">
        <v>817</v>
      </c>
      <c r="D576" s="30" t="s">
        <v>836</v>
      </c>
      <c r="E576" s="30" t="s">
        <v>109</v>
      </c>
      <c r="F576" s="41">
        <v>94761.2</v>
      </c>
    </row>
    <row r="577" spans="1:6" s="32" customFormat="1" ht="24" x14ac:dyDescent="0.2">
      <c r="A577" s="80" t="s">
        <v>481</v>
      </c>
      <c r="B577" s="24" t="s">
        <v>824</v>
      </c>
      <c r="C577" s="24" t="s">
        <v>817</v>
      </c>
      <c r="D577" s="24" t="s">
        <v>482</v>
      </c>
      <c r="E577" s="24"/>
      <c r="F577" s="42">
        <f>F578</f>
        <v>500</v>
      </c>
    </row>
    <row r="578" spans="1:6" s="32" customFormat="1" x14ac:dyDescent="0.2">
      <c r="A578" s="84" t="s">
        <v>246</v>
      </c>
      <c r="B578" s="30" t="s">
        <v>824</v>
      </c>
      <c r="C578" s="30" t="s">
        <v>817</v>
      </c>
      <c r="D578" s="30" t="s">
        <v>482</v>
      </c>
      <c r="E578" s="30" t="s">
        <v>702</v>
      </c>
      <c r="F578" s="41">
        <f>F579</f>
        <v>500</v>
      </c>
    </row>
    <row r="579" spans="1:6" s="32" customFormat="1" x14ac:dyDescent="0.2">
      <c r="A579" s="84" t="s">
        <v>108</v>
      </c>
      <c r="B579" s="30" t="s">
        <v>824</v>
      </c>
      <c r="C579" s="30" t="s">
        <v>817</v>
      </c>
      <c r="D579" s="30" t="s">
        <v>482</v>
      </c>
      <c r="E579" s="30" t="s">
        <v>109</v>
      </c>
      <c r="F579" s="41">
        <v>500</v>
      </c>
    </row>
    <row r="580" spans="1:6" s="32" customFormat="1" ht="27" x14ac:dyDescent="0.2">
      <c r="A580" s="86" t="s">
        <v>548</v>
      </c>
      <c r="B580" s="53" t="s">
        <v>824</v>
      </c>
      <c r="C580" s="53" t="s">
        <v>817</v>
      </c>
      <c r="D580" s="53" t="s">
        <v>427</v>
      </c>
      <c r="E580" s="53"/>
      <c r="F580" s="57">
        <f>F581</f>
        <v>91873.4</v>
      </c>
    </row>
    <row r="581" spans="1:6" s="32" customFormat="1" x14ac:dyDescent="0.2">
      <c r="A581" s="80" t="s">
        <v>651</v>
      </c>
      <c r="B581" s="24" t="s">
        <v>824</v>
      </c>
      <c r="C581" s="24" t="s">
        <v>817</v>
      </c>
      <c r="D581" s="24" t="s">
        <v>428</v>
      </c>
      <c r="E581" s="24"/>
      <c r="F581" s="42">
        <f>F582</f>
        <v>91873.4</v>
      </c>
    </row>
    <row r="582" spans="1:6" s="32" customFormat="1" ht="24" x14ac:dyDescent="0.2">
      <c r="A582" s="80" t="s">
        <v>652</v>
      </c>
      <c r="B582" s="24" t="s">
        <v>824</v>
      </c>
      <c r="C582" s="24" t="s">
        <v>817</v>
      </c>
      <c r="D582" s="24" t="s">
        <v>90</v>
      </c>
      <c r="E582" s="24"/>
      <c r="F582" s="42">
        <f>F583</f>
        <v>91873.4</v>
      </c>
    </row>
    <row r="583" spans="1:6" s="32" customFormat="1" ht="24" x14ac:dyDescent="0.2">
      <c r="A583" s="85" t="s">
        <v>494</v>
      </c>
      <c r="B583" s="33" t="s">
        <v>824</v>
      </c>
      <c r="C583" s="33" t="s">
        <v>817</v>
      </c>
      <c r="D583" s="33" t="s">
        <v>90</v>
      </c>
      <c r="E583" s="25"/>
      <c r="F583" s="45">
        <f>F584</f>
        <v>91873.4</v>
      </c>
    </row>
    <row r="584" spans="1:6" s="32" customFormat="1" x14ac:dyDescent="0.2">
      <c r="A584" s="84" t="s">
        <v>246</v>
      </c>
      <c r="B584" s="30" t="s">
        <v>824</v>
      </c>
      <c r="C584" s="30" t="s">
        <v>817</v>
      </c>
      <c r="D584" s="30" t="s">
        <v>90</v>
      </c>
      <c r="E584" s="30" t="s">
        <v>702</v>
      </c>
      <c r="F584" s="41">
        <f>F585</f>
        <v>91873.4</v>
      </c>
    </row>
    <row r="585" spans="1:6" s="32" customFormat="1" x14ac:dyDescent="0.2">
      <c r="A585" s="84" t="s">
        <v>247</v>
      </c>
      <c r="B585" s="30" t="s">
        <v>824</v>
      </c>
      <c r="C585" s="30" t="s">
        <v>817</v>
      </c>
      <c r="D585" s="30" t="s">
        <v>90</v>
      </c>
      <c r="E585" s="30" t="s">
        <v>724</v>
      </c>
      <c r="F585" s="41">
        <v>91873.4</v>
      </c>
    </row>
    <row r="586" spans="1:6" s="32" customFormat="1" ht="27" x14ac:dyDescent="0.2">
      <c r="A586" s="86" t="s">
        <v>549</v>
      </c>
      <c r="B586" s="53" t="s">
        <v>824</v>
      </c>
      <c r="C586" s="53" t="s">
        <v>817</v>
      </c>
      <c r="D586" s="53" t="s">
        <v>444</v>
      </c>
      <c r="E586" s="53"/>
      <c r="F586" s="57">
        <f>F587</f>
        <v>500</v>
      </c>
    </row>
    <row r="587" spans="1:6" s="32" customFormat="1" ht="36" x14ac:dyDescent="0.2">
      <c r="A587" s="80" t="s">
        <v>150</v>
      </c>
      <c r="B587" s="24" t="s">
        <v>824</v>
      </c>
      <c r="C587" s="24" t="s">
        <v>817</v>
      </c>
      <c r="D587" s="24" t="s">
        <v>484</v>
      </c>
      <c r="E587" s="24"/>
      <c r="F587" s="42">
        <f>F588</f>
        <v>500</v>
      </c>
    </row>
    <row r="588" spans="1:6" s="32" customFormat="1" x14ac:dyDescent="0.2">
      <c r="A588" s="84" t="s">
        <v>322</v>
      </c>
      <c r="B588" s="30" t="s">
        <v>824</v>
      </c>
      <c r="C588" s="30" t="s">
        <v>817</v>
      </c>
      <c r="D588" s="30" t="s">
        <v>484</v>
      </c>
      <c r="E588" s="30" t="s">
        <v>226</v>
      </c>
      <c r="F588" s="41">
        <f>F589</f>
        <v>500</v>
      </c>
    </row>
    <row r="589" spans="1:6" s="32" customFormat="1" x14ac:dyDescent="0.2">
      <c r="A589" s="84" t="s">
        <v>227</v>
      </c>
      <c r="B589" s="30" t="s">
        <v>824</v>
      </c>
      <c r="C589" s="30" t="s">
        <v>817</v>
      </c>
      <c r="D589" s="30" t="s">
        <v>484</v>
      </c>
      <c r="E589" s="30" t="s">
        <v>228</v>
      </c>
      <c r="F589" s="41">
        <v>500</v>
      </c>
    </row>
    <row r="590" spans="1:6" s="32" customFormat="1" ht="27" x14ac:dyDescent="0.2">
      <c r="A590" s="86" t="s">
        <v>85</v>
      </c>
      <c r="B590" s="53" t="s">
        <v>824</v>
      </c>
      <c r="C590" s="53" t="s">
        <v>817</v>
      </c>
      <c r="D590" s="53" t="s">
        <v>175</v>
      </c>
      <c r="E590" s="53"/>
      <c r="F590" s="57">
        <f>F591</f>
        <v>29443.599999999999</v>
      </c>
    </row>
    <row r="591" spans="1:6" s="32" customFormat="1" ht="24" x14ac:dyDescent="0.2">
      <c r="A591" s="75" t="s">
        <v>174</v>
      </c>
      <c r="B591" s="24" t="s">
        <v>824</v>
      </c>
      <c r="C591" s="24" t="s">
        <v>817</v>
      </c>
      <c r="D591" s="24" t="s">
        <v>176</v>
      </c>
      <c r="E591" s="24"/>
      <c r="F591" s="42">
        <f>F592</f>
        <v>29443.599999999999</v>
      </c>
    </row>
    <row r="592" spans="1:6" s="32" customFormat="1" x14ac:dyDescent="0.2">
      <c r="A592" s="75" t="s">
        <v>177</v>
      </c>
      <c r="B592" s="24" t="s">
        <v>824</v>
      </c>
      <c r="C592" s="24" t="s">
        <v>817</v>
      </c>
      <c r="D592" s="24" t="s">
        <v>87</v>
      </c>
      <c r="E592" s="24"/>
      <c r="F592" s="42">
        <f>F593</f>
        <v>29443.599999999999</v>
      </c>
    </row>
    <row r="593" spans="1:6" s="32" customFormat="1" ht="24" x14ac:dyDescent="0.2">
      <c r="A593" s="105" t="s">
        <v>494</v>
      </c>
      <c r="B593" s="33" t="s">
        <v>824</v>
      </c>
      <c r="C593" s="33" t="s">
        <v>817</v>
      </c>
      <c r="D593" s="33" t="s">
        <v>87</v>
      </c>
      <c r="E593" s="33"/>
      <c r="F593" s="101">
        <f>F594</f>
        <v>29443.599999999999</v>
      </c>
    </row>
    <row r="594" spans="1:6" s="32" customFormat="1" x14ac:dyDescent="0.2">
      <c r="A594" s="84" t="s">
        <v>246</v>
      </c>
      <c r="B594" s="30" t="s">
        <v>824</v>
      </c>
      <c r="C594" s="30" t="s">
        <v>817</v>
      </c>
      <c r="D594" s="30" t="s">
        <v>87</v>
      </c>
      <c r="E594" s="30" t="s">
        <v>702</v>
      </c>
      <c r="F594" s="41">
        <f>F595</f>
        <v>29443.599999999999</v>
      </c>
    </row>
    <row r="595" spans="1:6" s="32" customFormat="1" x14ac:dyDescent="0.2">
      <c r="A595" s="84" t="s">
        <v>108</v>
      </c>
      <c r="B595" s="30" t="s">
        <v>824</v>
      </c>
      <c r="C595" s="30" t="s">
        <v>817</v>
      </c>
      <c r="D595" s="30" t="s">
        <v>87</v>
      </c>
      <c r="E595" s="30" t="s">
        <v>109</v>
      </c>
      <c r="F595" s="41">
        <v>29443.599999999999</v>
      </c>
    </row>
    <row r="596" spans="1:6" s="32" customFormat="1" x14ac:dyDescent="0.2">
      <c r="A596" s="80" t="s">
        <v>676</v>
      </c>
      <c r="B596" s="24" t="s">
        <v>824</v>
      </c>
      <c r="C596" s="24" t="s">
        <v>824</v>
      </c>
      <c r="D596" s="24"/>
      <c r="E596" s="24"/>
      <c r="F596" s="42">
        <f>F597+F608+F613</f>
        <v>6250</v>
      </c>
    </row>
    <row r="597" spans="1:6" s="32" customFormat="1" ht="27" x14ac:dyDescent="0.2">
      <c r="A597" s="86" t="s">
        <v>548</v>
      </c>
      <c r="B597" s="53" t="s">
        <v>824</v>
      </c>
      <c r="C597" s="53" t="s">
        <v>824</v>
      </c>
      <c r="D597" s="53" t="s">
        <v>427</v>
      </c>
      <c r="E597" s="53"/>
      <c r="F597" s="57">
        <f>F598</f>
        <v>2500</v>
      </c>
    </row>
    <row r="598" spans="1:6" s="32" customFormat="1" ht="13.5" x14ac:dyDescent="0.2">
      <c r="A598" s="86" t="s">
        <v>650</v>
      </c>
      <c r="B598" s="53" t="s">
        <v>824</v>
      </c>
      <c r="C598" s="53" t="s">
        <v>824</v>
      </c>
      <c r="D598" s="53" t="s">
        <v>433</v>
      </c>
      <c r="E598" s="53"/>
      <c r="F598" s="57">
        <f>F599+F602+F605</f>
        <v>2500</v>
      </c>
    </row>
    <row r="599" spans="1:6" s="32" customFormat="1" x14ac:dyDescent="0.2">
      <c r="A599" s="75" t="s">
        <v>434</v>
      </c>
      <c r="B599" s="24" t="s">
        <v>824</v>
      </c>
      <c r="C599" s="24" t="s">
        <v>824</v>
      </c>
      <c r="D599" s="24" t="s">
        <v>91</v>
      </c>
      <c r="E599" s="24"/>
      <c r="F599" s="42">
        <f>F600</f>
        <v>1850</v>
      </c>
    </row>
    <row r="600" spans="1:6" s="32" customFormat="1" x14ac:dyDescent="0.2">
      <c r="A600" s="84" t="s">
        <v>473</v>
      </c>
      <c r="B600" s="30" t="s">
        <v>824</v>
      </c>
      <c r="C600" s="30" t="s">
        <v>824</v>
      </c>
      <c r="D600" s="30" t="s">
        <v>91</v>
      </c>
      <c r="E600" s="30" t="s">
        <v>226</v>
      </c>
      <c r="F600" s="41">
        <f>F601</f>
        <v>1850</v>
      </c>
    </row>
    <row r="601" spans="1:6" s="32" customFormat="1" x14ac:dyDescent="0.2">
      <c r="A601" s="84" t="s">
        <v>227</v>
      </c>
      <c r="B601" s="30" t="s">
        <v>824</v>
      </c>
      <c r="C601" s="30" t="s">
        <v>824</v>
      </c>
      <c r="D601" s="30" t="s">
        <v>91</v>
      </c>
      <c r="E601" s="30" t="s">
        <v>228</v>
      </c>
      <c r="F601" s="41">
        <v>1850</v>
      </c>
    </row>
    <row r="602" spans="1:6" s="32" customFormat="1" x14ac:dyDescent="0.2">
      <c r="A602" s="75" t="s">
        <v>435</v>
      </c>
      <c r="B602" s="24" t="s">
        <v>824</v>
      </c>
      <c r="C602" s="24" t="s">
        <v>824</v>
      </c>
      <c r="D602" s="24" t="s">
        <v>92</v>
      </c>
      <c r="E602" s="24"/>
      <c r="F602" s="42">
        <f>F603</f>
        <v>150</v>
      </c>
    </row>
    <row r="603" spans="1:6" s="32" customFormat="1" x14ac:dyDescent="0.2">
      <c r="A603" s="84" t="s">
        <v>473</v>
      </c>
      <c r="B603" s="30" t="s">
        <v>824</v>
      </c>
      <c r="C603" s="30" t="s">
        <v>824</v>
      </c>
      <c r="D603" s="30" t="s">
        <v>92</v>
      </c>
      <c r="E603" s="30" t="s">
        <v>226</v>
      </c>
      <c r="F603" s="41">
        <f>F604</f>
        <v>150</v>
      </c>
    </row>
    <row r="604" spans="1:6" s="32" customFormat="1" x14ac:dyDescent="0.2">
      <c r="A604" s="84" t="s">
        <v>227</v>
      </c>
      <c r="B604" s="30" t="s">
        <v>824</v>
      </c>
      <c r="C604" s="30" t="s">
        <v>824</v>
      </c>
      <c r="D604" s="30" t="s">
        <v>92</v>
      </c>
      <c r="E604" s="30" t="s">
        <v>228</v>
      </c>
      <c r="F604" s="41">
        <v>150</v>
      </c>
    </row>
    <row r="605" spans="1:6" s="32" customFormat="1" ht="24" x14ac:dyDescent="0.2">
      <c r="A605" s="80" t="s">
        <v>203</v>
      </c>
      <c r="B605" s="24" t="s">
        <v>824</v>
      </c>
      <c r="C605" s="24" t="s">
        <v>824</v>
      </c>
      <c r="D605" s="24" t="s">
        <v>93</v>
      </c>
      <c r="E605" s="24"/>
      <c r="F605" s="42">
        <f>F606</f>
        <v>500</v>
      </c>
    </row>
    <row r="606" spans="1:6" s="32" customFormat="1" x14ac:dyDescent="0.2">
      <c r="A606" s="84" t="s">
        <v>246</v>
      </c>
      <c r="B606" s="30" t="s">
        <v>824</v>
      </c>
      <c r="C606" s="30" t="s">
        <v>824</v>
      </c>
      <c r="D606" s="30" t="s">
        <v>93</v>
      </c>
      <c r="E606" s="30" t="s">
        <v>702</v>
      </c>
      <c r="F606" s="41">
        <f>F607</f>
        <v>500</v>
      </c>
    </row>
    <row r="607" spans="1:6" s="32" customFormat="1" x14ac:dyDescent="0.2">
      <c r="A607" s="172" t="s">
        <v>290</v>
      </c>
      <c r="B607" s="30" t="s">
        <v>824</v>
      </c>
      <c r="C607" s="30" t="s">
        <v>824</v>
      </c>
      <c r="D607" s="30" t="s">
        <v>93</v>
      </c>
      <c r="E607" s="30" t="s">
        <v>794</v>
      </c>
      <c r="F607" s="41">
        <v>500</v>
      </c>
    </row>
    <row r="608" spans="1:6" s="32" customFormat="1" ht="27" x14ac:dyDescent="0.2">
      <c r="A608" s="86" t="s">
        <v>85</v>
      </c>
      <c r="B608" s="53" t="s">
        <v>824</v>
      </c>
      <c r="C608" s="53" t="s">
        <v>824</v>
      </c>
      <c r="D608" s="53" t="s">
        <v>175</v>
      </c>
      <c r="E608" s="30"/>
      <c r="F608" s="42">
        <f>F609</f>
        <v>3000</v>
      </c>
    </row>
    <row r="609" spans="1:6" s="32" customFormat="1" x14ac:dyDescent="0.2">
      <c r="A609" s="75" t="s">
        <v>178</v>
      </c>
      <c r="B609" s="24" t="s">
        <v>824</v>
      </c>
      <c r="C609" s="24" t="s">
        <v>824</v>
      </c>
      <c r="D609" s="24" t="s">
        <v>179</v>
      </c>
      <c r="E609" s="24"/>
      <c r="F609" s="42">
        <f>F610</f>
        <v>3000</v>
      </c>
    </row>
    <row r="610" spans="1:6" s="32" customFormat="1" x14ac:dyDescent="0.2">
      <c r="A610" s="83" t="s">
        <v>561</v>
      </c>
      <c r="B610" s="25" t="s">
        <v>824</v>
      </c>
      <c r="C610" s="25" t="s">
        <v>824</v>
      </c>
      <c r="D610" s="25" t="s">
        <v>86</v>
      </c>
      <c r="E610" s="25"/>
      <c r="F610" s="45">
        <f>F611</f>
        <v>3000</v>
      </c>
    </row>
    <row r="611" spans="1:6" s="32" customFormat="1" x14ac:dyDescent="0.2">
      <c r="A611" s="84" t="s">
        <v>473</v>
      </c>
      <c r="B611" s="30" t="s">
        <v>824</v>
      </c>
      <c r="C611" s="30" t="s">
        <v>824</v>
      </c>
      <c r="D611" s="30" t="s">
        <v>86</v>
      </c>
      <c r="E611" s="30" t="s">
        <v>226</v>
      </c>
      <c r="F611" s="41">
        <f>F612</f>
        <v>3000</v>
      </c>
    </row>
    <row r="612" spans="1:6" s="32" customFormat="1" x14ac:dyDescent="0.2">
      <c r="A612" s="84" t="s">
        <v>227</v>
      </c>
      <c r="B612" s="30" t="s">
        <v>824</v>
      </c>
      <c r="C612" s="30" t="s">
        <v>824</v>
      </c>
      <c r="D612" s="30" t="s">
        <v>86</v>
      </c>
      <c r="E612" s="30" t="s">
        <v>228</v>
      </c>
      <c r="F612" s="41">
        <v>3000</v>
      </c>
    </row>
    <row r="613" spans="1:6" s="32" customFormat="1" x14ac:dyDescent="0.2">
      <c r="A613" s="81" t="s">
        <v>212</v>
      </c>
      <c r="B613" s="25" t="s">
        <v>824</v>
      </c>
      <c r="C613" s="25" t="s">
        <v>824</v>
      </c>
      <c r="D613" s="25" t="s">
        <v>382</v>
      </c>
      <c r="E613" s="25"/>
      <c r="F613" s="45">
        <f>F614</f>
        <v>750</v>
      </c>
    </row>
    <row r="614" spans="1:6" s="32" customFormat="1" x14ac:dyDescent="0.2">
      <c r="A614" s="82" t="s">
        <v>476</v>
      </c>
      <c r="B614" s="24" t="s">
        <v>824</v>
      </c>
      <c r="C614" s="24" t="s">
        <v>824</v>
      </c>
      <c r="D614" s="24" t="s">
        <v>383</v>
      </c>
      <c r="E614" s="24"/>
      <c r="F614" s="42">
        <f>F615</f>
        <v>750</v>
      </c>
    </row>
    <row r="615" spans="1:6" s="32" customFormat="1" x14ac:dyDescent="0.2">
      <c r="A615" s="81" t="s">
        <v>514</v>
      </c>
      <c r="B615" s="25" t="s">
        <v>824</v>
      </c>
      <c r="C615" s="25" t="s">
        <v>824</v>
      </c>
      <c r="D615" s="25" t="s">
        <v>42</v>
      </c>
      <c r="E615" s="25"/>
      <c r="F615" s="45">
        <f>F616+F618</f>
        <v>750</v>
      </c>
    </row>
    <row r="616" spans="1:6" s="32" customFormat="1" x14ac:dyDescent="0.2">
      <c r="A616" s="84" t="s">
        <v>473</v>
      </c>
      <c r="B616" s="30" t="s">
        <v>824</v>
      </c>
      <c r="C616" s="30" t="s">
        <v>824</v>
      </c>
      <c r="D616" s="30" t="s">
        <v>42</v>
      </c>
      <c r="E616" s="30" t="s">
        <v>226</v>
      </c>
      <c r="F616" s="41">
        <f>F617</f>
        <v>297</v>
      </c>
    </row>
    <row r="617" spans="1:6" s="32" customFormat="1" x14ac:dyDescent="0.2">
      <c r="A617" s="84" t="s">
        <v>227</v>
      </c>
      <c r="B617" s="30" t="s">
        <v>824</v>
      </c>
      <c r="C617" s="30" t="s">
        <v>824</v>
      </c>
      <c r="D617" s="30" t="s">
        <v>42</v>
      </c>
      <c r="E617" s="30" t="s">
        <v>228</v>
      </c>
      <c r="F617" s="41">
        <v>297</v>
      </c>
    </row>
    <row r="618" spans="1:6" s="32" customFormat="1" x14ac:dyDescent="0.2">
      <c r="A618" s="84" t="s">
        <v>246</v>
      </c>
      <c r="B618" s="30" t="s">
        <v>824</v>
      </c>
      <c r="C618" s="30" t="s">
        <v>824</v>
      </c>
      <c r="D618" s="30" t="s">
        <v>42</v>
      </c>
      <c r="E618" s="30" t="s">
        <v>702</v>
      </c>
      <c r="F618" s="41">
        <f>F619</f>
        <v>453</v>
      </c>
    </row>
    <row r="619" spans="1:6" s="32" customFormat="1" x14ac:dyDescent="0.2">
      <c r="A619" s="84" t="s">
        <v>247</v>
      </c>
      <c r="B619" s="30" t="s">
        <v>824</v>
      </c>
      <c r="C619" s="30" t="s">
        <v>824</v>
      </c>
      <c r="D619" s="30" t="s">
        <v>42</v>
      </c>
      <c r="E619" s="30" t="s">
        <v>724</v>
      </c>
      <c r="F619" s="41">
        <v>453</v>
      </c>
    </row>
    <row r="620" spans="1:6" s="32" customFormat="1" x14ac:dyDescent="0.2">
      <c r="A620" s="80" t="s">
        <v>677</v>
      </c>
      <c r="B620" s="24" t="s">
        <v>824</v>
      </c>
      <c r="C620" s="24" t="s">
        <v>818</v>
      </c>
      <c r="D620" s="24"/>
      <c r="E620" s="30"/>
      <c r="F620" s="42">
        <f>F621+F663</f>
        <v>197188.8</v>
      </c>
    </row>
    <row r="621" spans="1:6" s="32" customFormat="1" ht="27" x14ac:dyDescent="0.2">
      <c r="A621" s="86" t="s">
        <v>831</v>
      </c>
      <c r="B621" s="53" t="s">
        <v>824</v>
      </c>
      <c r="C621" s="53" t="s">
        <v>818</v>
      </c>
      <c r="D621" s="53" t="s">
        <v>323</v>
      </c>
      <c r="E621" s="30"/>
      <c r="F621" s="57">
        <f>F622+F631+F652</f>
        <v>122918</v>
      </c>
    </row>
    <row r="622" spans="1:6" s="32" customFormat="1" x14ac:dyDescent="0.2">
      <c r="A622" s="80" t="s">
        <v>445</v>
      </c>
      <c r="B622" s="24" t="s">
        <v>824</v>
      </c>
      <c r="C622" s="24" t="s">
        <v>818</v>
      </c>
      <c r="D622" s="24" t="s">
        <v>324</v>
      </c>
      <c r="E622" s="24"/>
      <c r="F622" s="42">
        <f>F623+F627</f>
        <v>107172</v>
      </c>
    </row>
    <row r="623" spans="1:6" s="32" customFormat="1" x14ac:dyDescent="0.2">
      <c r="A623" s="83" t="s">
        <v>452</v>
      </c>
      <c r="B623" s="25" t="s">
        <v>824</v>
      </c>
      <c r="C623" s="25" t="s">
        <v>818</v>
      </c>
      <c r="D623" s="25" t="s">
        <v>451</v>
      </c>
      <c r="E623" s="25"/>
      <c r="F623" s="45">
        <f>F624</f>
        <v>10000</v>
      </c>
    </row>
    <row r="624" spans="1:6" s="32" customFormat="1" x14ac:dyDescent="0.2">
      <c r="A624" s="84" t="s">
        <v>246</v>
      </c>
      <c r="B624" s="30" t="s">
        <v>824</v>
      </c>
      <c r="C624" s="30" t="s">
        <v>818</v>
      </c>
      <c r="D624" s="30" t="s">
        <v>837</v>
      </c>
      <c r="E624" s="30" t="s">
        <v>702</v>
      </c>
      <c r="F624" s="41">
        <f>F625+F626</f>
        <v>10000</v>
      </c>
    </row>
    <row r="625" spans="1:6" s="32" customFormat="1" x14ac:dyDescent="0.2">
      <c r="A625" s="84" t="s">
        <v>247</v>
      </c>
      <c r="B625" s="30" t="s">
        <v>824</v>
      </c>
      <c r="C625" s="30" t="s">
        <v>818</v>
      </c>
      <c r="D625" s="30" t="s">
        <v>837</v>
      </c>
      <c r="E625" s="30" t="s">
        <v>724</v>
      </c>
      <c r="F625" s="41">
        <v>9800</v>
      </c>
    </row>
    <row r="626" spans="1:6" s="32" customFormat="1" x14ac:dyDescent="0.2">
      <c r="A626" s="84" t="s">
        <v>108</v>
      </c>
      <c r="B626" s="30" t="s">
        <v>824</v>
      </c>
      <c r="C626" s="30" t="s">
        <v>818</v>
      </c>
      <c r="D626" s="30" t="s">
        <v>837</v>
      </c>
      <c r="E626" s="30" t="s">
        <v>109</v>
      </c>
      <c r="F626" s="41">
        <v>200</v>
      </c>
    </row>
    <row r="627" spans="1:6" s="32" customFormat="1" x14ac:dyDescent="0.2">
      <c r="A627" s="83" t="s">
        <v>459</v>
      </c>
      <c r="B627" s="33" t="s">
        <v>824</v>
      </c>
      <c r="C627" s="33" t="s">
        <v>818</v>
      </c>
      <c r="D627" s="25" t="s">
        <v>453</v>
      </c>
      <c r="E627" s="25"/>
      <c r="F627" s="45">
        <f>F628</f>
        <v>97172</v>
      </c>
    </row>
    <row r="628" spans="1:6" s="32" customFormat="1" x14ac:dyDescent="0.2">
      <c r="A628" s="84" t="s">
        <v>246</v>
      </c>
      <c r="B628" s="30" t="s">
        <v>824</v>
      </c>
      <c r="C628" s="30" t="s">
        <v>818</v>
      </c>
      <c r="D628" s="30" t="s">
        <v>838</v>
      </c>
      <c r="E628" s="30" t="s">
        <v>702</v>
      </c>
      <c r="F628" s="41">
        <f>F629+F630</f>
        <v>97172</v>
      </c>
    </row>
    <row r="629" spans="1:6" s="32" customFormat="1" x14ac:dyDescent="0.2">
      <c r="A629" s="84" t="s">
        <v>247</v>
      </c>
      <c r="B629" s="30" t="s">
        <v>824</v>
      </c>
      <c r="C629" s="30" t="s">
        <v>818</v>
      </c>
      <c r="D629" s="30" t="s">
        <v>838</v>
      </c>
      <c r="E629" s="30" t="s">
        <v>724</v>
      </c>
      <c r="F629" s="41">
        <f>95308.55-2388.5-3885</f>
        <v>89035.05</v>
      </c>
    </row>
    <row r="630" spans="1:6" s="32" customFormat="1" x14ac:dyDescent="0.2">
      <c r="A630" s="84" t="s">
        <v>108</v>
      </c>
      <c r="B630" s="30" t="s">
        <v>824</v>
      </c>
      <c r="C630" s="30" t="s">
        <v>818</v>
      </c>
      <c r="D630" s="30" t="s">
        <v>838</v>
      </c>
      <c r="E630" s="30" t="s">
        <v>109</v>
      </c>
      <c r="F630" s="41">
        <f>6028.45+2388.5-280</f>
        <v>8136.9500000000007</v>
      </c>
    </row>
    <row r="631" spans="1:6" s="32" customFormat="1" x14ac:dyDescent="0.2">
      <c r="A631" s="80" t="s">
        <v>790</v>
      </c>
      <c r="B631" s="24" t="s">
        <v>824</v>
      </c>
      <c r="C631" s="24" t="s">
        <v>818</v>
      </c>
      <c r="D631" s="24" t="s">
        <v>331</v>
      </c>
      <c r="E631" s="24"/>
      <c r="F631" s="42">
        <f>F632+F640+F645</f>
        <v>6120</v>
      </c>
    </row>
    <row r="632" spans="1:6" s="32" customFormat="1" ht="25.5" x14ac:dyDescent="0.2">
      <c r="A632" s="68" t="s">
        <v>334</v>
      </c>
      <c r="B632" s="24" t="s">
        <v>824</v>
      </c>
      <c r="C632" s="24" t="s">
        <v>818</v>
      </c>
      <c r="D632" s="24" t="s">
        <v>289</v>
      </c>
      <c r="E632" s="25"/>
      <c r="F632" s="42">
        <f>F633</f>
        <v>3935</v>
      </c>
    </row>
    <row r="633" spans="1:6" s="32" customFormat="1" x14ac:dyDescent="0.2">
      <c r="A633" s="85" t="s">
        <v>819</v>
      </c>
      <c r="B633" s="33" t="s">
        <v>824</v>
      </c>
      <c r="C633" s="33" t="s">
        <v>818</v>
      </c>
      <c r="D633" s="33" t="s">
        <v>839</v>
      </c>
      <c r="E633" s="33"/>
      <c r="F633" s="101">
        <f>F634+F636+F638</f>
        <v>3935</v>
      </c>
    </row>
    <row r="634" spans="1:6" s="32" customFormat="1" ht="24" x14ac:dyDescent="0.2">
      <c r="A634" s="84" t="s">
        <v>217</v>
      </c>
      <c r="B634" s="30" t="s">
        <v>824</v>
      </c>
      <c r="C634" s="30" t="s">
        <v>818</v>
      </c>
      <c r="D634" s="30" t="s">
        <v>839</v>
      </c>
      <c r="E634" s="30" t="s">
        <v>218</v>
      </c>
      <c r="F634" s="41">
        <f>F635</f>
        <v>3750</v>
      </c>
    </row>
    <row r="635" spans="1:6" s="32" customFormat="1" x14ac:dyDescent="0.2">
      <c r="A635" s="84" t="s">
        <v>820</v>
      </c>
      <c r="B635" s="30" t="s">
        <v>824</v>
      </c>
      <c r="C635" s="30" t="s">
        <v>818</v>
      </c>
      <c r="D635" s="30" t="s">
        <v>839</v>
      </c>
      <c r="E635" s="30" t="s">
        <v>821</v>
      </c>
      <c r="F635" s="41">
        <f>2765+835+150</f>
        <v>3750</v>
      </c>
    </row>
    <row r="636" spans="1:6" s="32" customFormat="1" x14ac:dyDescent="0.2">
      <c r="A636" s="84" t="s">
        <v>473</v>
      </c>
      <c r="B636" s="30" t="s">
        <v>824</v>
      </c>
      <c r="C636" s="30" t="s">
        <v>818</v>
      </c>
      <c r="D636" s="30" t="s">
        <v>839</v>
      </c>
      <c r="E636" s="30" t="s">
        <v>226</v>
      </c>
      <c r="F636" s="41">
        <f>F637</f>
        <v>180</v>
      </c>
    </row>
    <row r="637" spans="1:6" s="32" customFormat="1" x14ac:dyDescent="0.2">
      <c r="A637" s="84" t="s">
        <v>227</v>
      </c>
      <c r="B637" s="30" t="s">
        <v>824</v>
      </c>
      <c r="C637" s="30" t="s">
        <v>818</v>
      </c>
      <c r="D637" s="30" t="s">
        <v>839</v>
      </c>
      <c r="E637" s="30" t="s">
        <v>228</v>
      </c>
      <c r="F637" s="41">
        <v>180</v>
      </c>
    </row>
    <row r="638" spans="1:6" s="32" customFormat="1" x14ac:dyDescent="0.2">
      <c r="A638" s="84" t="s">
        <v>229</v>
      </c>
      <c r="B638" s="30" t="s">
        <v>824</v>
      </c>
      <c r="C638" s="30" t="s">
        <v>818</v>
      </c>
      <c r="D638" s="30" t="s">
        <v>839</v>
      </c>
      <c r="E638" s="30" t="s">
        <v>230</v>
      </c>
      <c r="F638" s="103">
        <f>F639</f>
        <v>5</v>
      </c>
    </row>
    <row r="639" spans="1:6" s="32" customFormat="1" x14ac:dyDescent="0.2">
      <c r="A639" s="84" t="s">
        <v>311</v>
      </c>
      <c r="B639" s="30" t="s">
        <v>824</v>
      </c>
      <c r="C639" s="30" t="s">
        <v>818</v>
      </c>
      <c r="D639" s="30" t="s">
        <v>839</v>
      </c>
      <c r="E639" s="30" t="s">
        <v>231</v>
      </c>
      <c r="F639" s="103">
        <v>5</v>
      </c>
    </row>
    <row r="640" spans="1:6" s="32" customFormat="1" ht="24" x14ac:dyDescent="0.2">
      <c r="A640" s="123" t="s">
        <v>460</v>
      </c>
      <c r="B640" s="25" t="s">
        <v>824</v>
      </c>
      <c r="C640" s="25" t="s">
        <v>818</v>
      </c>
      <c r="D640" s="25" t="s">
        <v>840</v>
      </c>
      <c r="E640" s="25"/>
      <c r="F640" s="45">
        <f>F641+F643</f>
        <v>1635</v>
      </c>
    </row>
    <row r="641" spans="1:6" s="32" customFormat="1" ht="24" x14ac:dyDescent="0.2">
      <c r="A641" s="84" t="s">
        <v>217</v>
      </c>
      <c r="B641" s="30" t="s">
        <v>824</v>
      </c>
      <c r="C641" s="30" t="s">
        <v>818</v>
      </c>
      <c r="D641" s="30" t="s">
        <v>840</v>
      </c>
      <c r="E641" s="30" t="s">
        <v>218</v>
      </c>
      <c r="F641" s="41">
        <f>F642</f>
        <v>325</v>
      </c>
    </row>
    <row r="642" spans="1:6" s="32" customFormat="1" x14ac:dyDescent="0.2">
      <c r="A642" s="84" t="s">
        <v>820</v>
      </c>
      <c r="B642" s="30" t="s">
        <v>824</v>
      </c>
      <c r="C642" s="30" t="s">
        <v>818</v>
      </c>
      <c r="D642" s="30" t="s">
        <v>840</v>
      </c>
      <c r="E642" s="30" t="s">
        <v>821</v>
      </c>
      <c r="F642" s="41">
        <f>250+75</f>
        <v>325</v>
      </c>
    </row>
    <row r="643" spans="1:6" s="32" customFormat="1" x14ac:dyDescent="0.2">
      <c r="A643" s="84" t="s">
        <v>473</v>
      </c>
      <c r="B643" s="30" t="s">
        <v>824</v>
      </c>
      <c r="C643" s="30" t="s">
        <v>818</v>
      </c>
      <c r="D643" s="30" t="s">
        <v>840</v>
      </c>
      <c r="E643" s="30" t="s">
        <v>226</v>
      </c>
      <c r="F643" s="41">
        <f>F644</f>
        <v>1310</v>
      </c>
    </row>
    <row r="644" spans="1:6" s="32" customFormat="1" x14ac:dyDescent="0.2">
      <c r="A644" s="84" t="s">
        <v>227</v>
      </c>
      <c r="B644" s="30" t="s">
        <v>824</v>
      </c>
      <c r="C644" s="30" t="s">
        <v>818</v>
      </c>
      <c r="D644" s="30" t="s">
        <v>840</v>
      </c>
      <c r="E644" s="30" t="s">
        <v>228</v>
      </c>
      <c r="F644" s="41">
        <f>1535-150-75</f>
        <v>1310</v>
      </c>
    </row>
    <row r="645" spans="1:6" s="32" customFormat="1" ht="36" x14ac:dyDescent="0.2">
      <c r="A645" s="105" t="s">
        <v>788</v>
      </c>
      <c r="B645" s="33" t="s">
        <v>824</v>
      </c>
      <c r="C645" s="33" t="s">
        <v>818</v>
      </c>
      <c r="D645" s="33" t="s">
        <v>841</v>
      </c>
      <c r="E645" s="33"/>
      <c r="F645" s="101">
        <f>F646+F648+F650</f>
        <v>550</v>
      </c>
    </row>
    <row r="646" spans="1:6" s="32" customFormat="1" ht="24" x14ac:dyDescent="0.2">
      <c r="A646" s="84" t="s">
        <v>217</v>
      </c>
      <c r="B646" s="30" t="s">
        <v>824</v>
      </c>
      <c r="C646" s="30" t="s">
        <v>818</v>
      </c>
      <c r="D646" s="30" t="s">
        <v>841</v>
      </c>
      <c r="E646" s="30" t="s">
        <v>218</v>
      </c>
      <c r="F646" s="41">
        <f>F647</f>
        <v>204.8</v>
      </c>
    </row>
    <row r="647" spans="1:6" s="32" customFormat="1" x14ac:dyDescent="0.2">
      <c r="A647" s="84" t="s">
        <v>820</v>
      </c>
      <c r="B647" s="30" t="s">
        <v>824</v>
      </c>
      <c r="C647" s="30" t="s">
        <v>818</v>
      </c>
      <c r="D647" s="30" t="s">
        <v>841</v>
      </c>
      <c r="E647" s="30" t="s">
        <v>821</v>
      </c>
      <c r="F647" s="41">
        <f>250-45.2</f>
        <v>204.8</v>
      </c>
    </row>
    <row r="648" spans="1:6" s="32" customFormat="1" x14ac:dyDescent="0.2">
      <c r="A648" s="84" t="s">
        <v>473</v>
      </c>
      <c r="B648" s="30" t="s">
        <v>824</v>
      </c>
      <c r="C648" s="30" t="s">
        <v>818</v>
      </c>
      <c r="D648" s="30" t="s">
        <v>841</v>
      </c>
      <c r="E648" s="30" t="s">
        <v>226</v>
      </c>
      <c r="F648" s="41">
        <f>F649</f>
        <v>204.88</v>
      </c>
    </row>
    <row r="649" spans="1:6" s="32" customFormat="1" x14ac:dyDescent="0.2">
      <c r="A649" s="84" t="s">
        <v>227</v>
      </c>
      <c r="B649" s="30" t="s">
        <v>824</v>
      </c>
      <c r="C649" s="30" t="s">
        <v>818</v>
      </c>
      <c r="D649" s="30" t="s">
        <v>841</v>
      </c>
      <c r="E649" s="30" t="s">
        <v>228</v>
      </c>
      <c r="F649" s="41">
        <f>300-95.12</f>
        <v>204.88</v>
      </c>
    </row>
    <row r="650" spans="1:6" s="32" customFormat="1" x14ac:dyDescent="0.2">
      <c r="A650" s="84" t="s">
        <v>237</v>
      </c>
      <c r="B650" s="30" t="s">
        <v>824</v>
      </c>
      <c r="C650" s="30" t="s">
        <v>818</v>
      </c>
      <c r="D650" s="30" t="s">
        <v>841</v>
      </c>
      <c r="E650" s="30" t="s">
        <v>236</v>
      </c>
      <c r="F650" s="41">
        <f>F651</f>
        <v>140.32</v>
      </c>
    </row>
    <row r="651" spans="1:6" s="32" customFormat="1" ht="24" x14ac:dyDescent="0.2">
      <c r="A651" s="84" t="s">
        <v>503</v>
      </c>
      <c r="B651" s="30" t="s">
        <v>824</v>
      </c>
      <c r="C651" s="30" t="s">
        <v>818</v>
      </c>
      <c r="D651" s="30" t="s">
        <v>841</v>
      </c>
      <c r="E651" s="30" t="s">
        <v>504</v>
      </c>
      <c r="F651" s="41">
        <f>95.12+45.2</f>
        <v>140.32</v>
      </c>
    </row>
    <row r="652" spans="1:6" s="32" customFormat="1" ht="24" x14ac:dyDescent="0.2">
      <c r="A652" s="75" t="s">
        <v>505</v>
      </c>
      <c r="B652" s="24" t="s">
        <v>824</v>
      </c>
      <c r="C652" s="24" t="s">
        <v>818</v>
      </c>
      <c r="D652" s="24" t="s">
        <v>333</v>
      </c>
      <c r="E652" s="24"/>
      <c r="F652" s="42">
        <f>F653</f>
        <v>9626</v>
      </c>
    </row>
    <row r="653" spans="1:6" s="32" customFormat="1" x14ac:dyDescent="0.2">
      <c r="A653" s="68" t="s">
        <v>340</v>
      </c>
      <c r="B653" s="24" t="s">
        <v>824</v>
      </c>
      <c r="C653" s="24" t="s">
        <v>818</v>
      </c>
      <c r="D653" s="24" t="s">
        <v>333</v>
      </c>
      <c r="E653" s="24"/>
      <c r="F653" s="42">
        <f>F654</f>
        <v>9626</v>
      </c>
    </row>
    <row r="654" spans="1:6" s="32" customFormat="1" ht="24" x14ac:dyDescent="0.2">
      <c r="A654" s="83" t="s">
        <v>704</v>
      </c>
      <c r="B654" s="25" t="s">
        <v>824</v>
      </c>
      <c r="C654" s="25" t="s">
        <v>818</v>
      </c>
      <c r="D654" s="25" t="s">
        <v>333</v>
      </c>
      <c r="E654" s="25"/>
      <c r="F654" s="45">
        <f>F655+F658</f>
        <v>9626</v>
      </c>
    </row>
    <row r="655" spans="1:6" s="32" customFormat="1" x14ac:dyDescent="0.2">
      <c r="A655" s="82" t="s">
        <v>685</v>
      </c>
      <c r="B655" s="24" t="s">
        <v>824</v>
      </c>
      <c r="C655" s="24" t="s">
        <v>818</v>
      </c>
      <c r="D655" s="24" t="s">
        <v>464</v>
      </c>
      <c r="E655" s="24"/>
      <c r="F655" s="42">
        <f>F656</f>
        <v>9114</v>
      </c>
    </row>
    <row r="656" spans="1:6" s="32" customFormat="1" ht="24" x14ac:dyDescent="0.2">
      <c r="A656" s="84" t="s">
        <v>217</v>
      </c>
      <c r="B656" s="30" t="s">
        <v>824</v>
      </c>
      <c r="C656" s="30" t="s">
        <v>818</v>
      </c>
      <c r="D656" s="30" t="s">
        <v>464</v>
      </c>
      <c r="E656" s="30" t="s">
        <v>218</v>
      </c>
      <c r="F656" s="41">
        <f>F657</f>
        <v>9114</v>
      </c>
    </row>
    <row r="657" spans="1:6" s="32" customFormat="1" x14ac:dyDescent="0.2">
      <c r="A657" s="84" t="s">
        <v>219</v>
      </c>
      <c r="B657" s="30" t="s">
        <v>824</v>
      </c>
      <c r="C657" s="30" t="s">
        <v>818</v>
      </c>
      <c r="D657" s="30" t="s">
        <v>464</v>
      </c>
      <c r="E657" s="30" t="s">
        <v>224</v>
      </c>
      <c r="F657" s="41">
        <f>7000+2114</f>
        <v>9114</v>
      </c>
    </row>
    <row r="658" spans="1:6" s="32" customFormat="1" x14ac:dyDescent="0.2">
      <c r="A658" s="80" t="s">
        <v>225</v>
      </c>
      <c r="B658" s="24" t="s">
        <v>824</v>
      </c>
      <c r="C658" s="24" t="s">
        <v>818</v>
      </c>
      <c r="D658" s="24" t="s">
        <v>465</v>
      </c>
      <c r="E658" s="24"/>
      <c r="F658" s="42">
        <f>F659+F661</f>
        <v>512</v>
      </c>
    </row>
    <row r="659" spans="1:6" s="32" customFormat="1" x14ac:dyDescent="0.2">
      <c r="A659" s="84" t="s">
        <v>473</v>
      </c>
      <c r="B659" s="30" t="s">
        <v>824</v>
      </c>
      <c r="C659" s="30" t="s">
        <v>818</v>
      </c>
      <c r="D659" s="30" t="s">
        <v>465</v>
      </c>
      <c r="E659" s="30" t="s">
        <v>226</v>
      </c>
      <c r="F659" s="41">
        <f>F660</f>
        <v>497</v>
      </c>
    </row>
    <row r="660" spans="1:6" s="32" customFormat="1" x14ac:dyDescent="0.2">
      <c r="A660" s="84" t="s">
        <v>227</v>
      </c>
      <c r="B660" s="30" t="s">
        <v>824</v>
      </c>
      <c r="C660" s="30" t="s">
        <v>818</v>
      </c>
      <c r="D660" s="30" t="s">
        <v>465</v>
      </c>
      <c r="E660" s="30" t="s">
        <v>228</v>
      </c>
      <c r="F660" s="41">
        <v>497</v>
      </c>
    </row>
    <row r="661" spans="1:6" s="32" customFormat="1" x14ac:dyDescent="0.2">
      <c r="A661" s="84" t="s">
        <v>229</v>
      </c>
      <c r="B661" s="30" t="s">
        <v>824</v>
      </c>
      <c r="C661" s="30" t="s">
        <v>818</v>
      </c>
      <c r="D661" s="30" t="s">
        <v>465</v>
      </c>
      <c r="E661" s="30" t="s">
        <v>230</v>
      </c>
      <c r="F661" s="41">
        <f>F662</f>
        <v>15</v>
      </c>
    </row>
    <row r="662" spans="1:6" s="32" customFormat="1" x14ac:dyDescent="0.2">
      <c r="A662" s="84" t="s">
        <v>106</v>
      </c>
      <c r="B662" s="30" t="s">
        <v>824</v>
      </c>
      <c r="C662" s="30" t="s">
        <v>818</v>
      </c>
      <c r="D662" s="30" t="s">
        <v>465</v>
      </c>
      <c r="E662" s="30" t="s">
        <v>231</v>
      </c>
      <c r="F662" s="41">
        <v>15</v>
      </c>
    </row>
    <row r="663" spans="1:6" s="32" customFormat="1" ht="27" x14ac:dyDescent="0.2">
      <c r="A663" s="86" t="s">
        <v>549</v>
      </c>
      <c r="B663" s="53" t="s">
        <v>824</v>
      </c>
      <c r="C663" s="53" t="s">
        <v>818</v>
      </c>
      <c r="D663" s="53" t="s">
        <v>444</v>
      </c>
      <c r="E663" s="53"/>
      <c r="F663" s="57">
        <f>F664+F667+F670+F673+F676</f>
        <v>74270.799999999988</v>
      </c>
    </row>
    <row r="664" spans="1:6" s="32" customFormat="1" x14ac:dyDescent="0.2">
      <c r="A664" s="75" t="s">
        <v>335</v>
      </c>
      <c r="B664" s="24" t="s">
        <v>824</v>
      </c>
      <c r="C664" s="24" t="s">
        <v>818</v>
      </c>
      <c r="D664" s="106" t="s">
        <v>6</v>
      </c>
      <c r="E664" s="24"/>
      <c r="F664" s="42">
        <f>F665</f>
        <v>46247.7</v>
      </c>
    </row>
    <row r="665" spans="1:6" s="32" customFormat="1" x14ac:dyDescent="0.2">
      <c r="A665" s="84" t="s">
        <v>473</v>
      </c>
      <c r="B665" s="30" t="s">
        <v>824</v>
      </c>
      <c r="C665" s="30" t="s">
        <v>818</v>
      </c>
      <c r="D665" s="96" t="s">
        <v>6</v>
      </c>
      <c r="E665" s="30" t="s">
        <v>226</v>
      </c>
      <c r="F665" s="41">
        <f>F666</f>
        <v>46247.7</v>
      </c>
    </row>
    <row r="666" spans="1:6" s="32" customFormat="1" x14ac:dyDescent="0.2">
      <c r="A666" s="84" t="s">
        <v>227</v>
      </c>
      <c r="B666" s="30" t="s">
        <v>824</v>
      </c>
      <c r="C666" s="30" t="s">
        <v>818</v>
      </c>
      <c r="D666" s="96" t="s">
        <v>6</v>
      </c>
      <c r="E666" s="30" t="s">
        <v>228</v>
      </c>
      <c r="F666" s="41">
        <f>39747.7+1200+2000+2500-300+1100</f>
        <v>46247.7</v>
      </c>
    </row>
    <row r="667" spans="1:6" s="32" customFormat="1" x14ac:dyDescent="0.2">
      <c r="A667" s="80" t="s">
        <v>560</v>
      </c>
      <c r="B667" s="24" t="s">
        <v>824</v>
      </c>
      <c r="C667" s="24" t="s">
        <v>818</v>
      </c>
      <c r="D667" s="106" t="s">
        <v>7</v>
      </c>
      <c r="E667" s="24"/>
      <c r="F667" s="42">
        <f>F668</f>
        <v>22645.200000000001</v>
      </c>
    </row>
    <row r="668" spans="1:6" s="32" customFormat="1" x14ac:dyDescent="0.2">
      <c r="A668" s="84" t="s">
        <v>394</v>
      </c>
      <c r="B668" s="30" t="s">
        <v>824</v>
      </c>
      <c r="C668" s="30" t="s">
        <v>818</v>
      </c>
      <c r="D668" s="30" t="s">
        <v>7</v>
      </c>
      <c r="E668" s="30" t="s">
        <v>733</v>
      </c>
      <c r="F668" s="41">
        <f>F669</f>
        <v>22645.200000000001</v>
      </c>
    </row>
    <row r="669" spans="1:6" s="32" customFormat="1" x14ac:dyDescent="0.2">
      <c r="A669" s="84" t="s">
        <v>734</v>
      </c>
      <c r="B669" s="30" t="s">
        <v>824</v>
      </c>
      <c r="C669" s="30" t="s">
        <v>818</v>
      </c>
      <c r="D669" s="30" t="s">
        <v>7</v>
      </c>
      <c r="E669" s="30" t="s">
        <v>735</v>
      </c>
      <c r="F669" s="41">
        <v>22645.200000000001</v>
      </c>
    </row>
    <row r="670" spans="1:6" s="32" customFormat="1" x14ac:dyDescent="0.2">
      <c r="A670" s="80" t="s">
        <v>8</v>
      </c>
      <c r="B670" s="24" t="s">
        <v>824</v>
      </c>
      <c r="C670" s="24" t="s">
        <v>818</v>
      </c>
      <c r="D670" s="24" t="s">
        <v>9</v>
      </c>
      <c r="E670" s="24"/>
      <c r="F670" s="227">
        <f>F671</f>
        <v>0</v>
      </c>
    </row>
    <row r="671" spans="1:6" s="32" customFormat="1" x14ac:dyDescent="0.2">
      <c r="A671" s="84" t="s">
        <v>394</v>
      </c>
      <c r="B671" s="30" t="s">
        <v>824</v>
      </c>
      <c r="C671" s="30" t="s">
        <v>818</v>
      </c>
      <c r="D671" s="30" t="s">
        <v>9</v>
      </c>
      <c r="E671" s="30" t="s">
        <v>733</v>
      </c>
      <c r="F671" s="228">
        <f>F672</f>
        <v>0</v>
      </c>
    </row>
    <row r="672" spans="1:6" s="32" customFormat="1" x14ac:dyDescent="0.2">
      <c r="A672" s="84" t="s">
        <v>734</v>
      </c>
      <c r="B672" s="30" t="s">
        <v>824</v>
      </c>
      <c r="C672" s="30" t="s">
        <v>818</v>
      </c>
      <c r="D672" s="30" t="s">
        <v>9</v>
      </c>
      <c r="E672" s="30" t="s">
        <v>735</v>
      </c>
      <c r="F672" s="228">
        <f>2000-800-1200</f>
        <v>0</v>
      </c>
    </row>
    <row r="673" spans="1:6" s="32" customFormat="1" x14ac:dyDescent="0.2">
      <c r="A673" s="75" t="s">
        <v>286</v>
      </c>
      <c r="B673" s="24" t="s">
        <v>824</v>
      </c>
      <c r="C673" s="24" t="s">
        <v>818</v>
      </c>
      <c r="D673" s="106" t="s">
        <v>846</v>
      </c>
      <c r="E673" s="24"/>
      <c r="F673" s="117">
        <f>F674</f>
        <v>1300</v>
      </c>
    </row>
    <row r="674" spans="1:6" s="32" customFormat="1" x14ac:dyDescent="0.2">
      <c r="A674" s="84" t="s">
        <v>473</v>
      </c>
      <c r="B674" s="30" t="s">
        <v>824</v>
      </c>
      <c r="C674" s="30" t="s">
        <v>818</v>
      </c>
      <c r="D674" s="30" t="s">
        <v>846</v>
      </c>
      <c r="E674" s="30" t="s">
        <v>226</v>
      </c>
      <c r="F674" s="118">
        <f>F675</f>
        <v>1300</v>
      </c>
    </row>
    <row r="675" spans="1:6" s="32" customFormat="1" x14ac:dyDescent="0.2">
      <c r="A675" s="84" t="s">
        <v>227</v>
      </c>
      <c r="B675" s="30" t="s">
        <v>824</v>
      </c>
      <c r="C675" s="30" t="s">
        <v>818</v>
      </c>
      <c r="D675" s="30" t="s">
        <v>846</v>
      </c>
      <c r="E675" s="30" t="s">
        <v>228</v>
      </c>
      <c r="F675" s="118">
        <f>200+300+800</f>
        <v>1300</v>
      </c>
    </row>
    <row r="676" spans="1:6" s="32" customFormat="1" x14ac:dyDescent="0.2">
      <c r="A676" s="80" t="s">
        <v>396</v>
      </c>
      <c r="B676" s="24" t="s">
        <v>824</v>
      </c>
      <c r="C676" s="24" t="s">
        <v>818</v>
      </c>
      <c r="D676" s="24" t="s">
        <v>847</v>
      </c>
      <c r="E676" s="24"/>
      <c r="F676" s="42">
        <f>F677+F679</f>
        <v>4077.9</v>
      </c>
    </row>
    <row r="677" spans="1:6" s="32" customFormat="1" x14ac:dyDescent="0.2">
      <c r="A677" s="84" t="s">
        <v>473</v>
      </c>
      <c r="B677" s="30" t="s">
        <v>824</v>
      </c>
      <c r="C677" s="30" t="s">
        <v>818</v>
      </c>
      <c r="D677" s="30" t="s">
        <v>847</v>
      </c>
      <c r="E677" s="30" t="s">
        <v>226</v>
      </c>
      <c r="F677" s="41">
        <f>F678</f>
        <v>577.90000000000009</v>
      </c>
    </row>
    <row r="678" spans="1:6" s="32" customFormat="1" x14ac:dyDescent="0.2">
      <c r="A678" s="84" t="s">
        <v>227</v>
      </c>
      <c r="B678" s="30" t="s">
        <v>824</v>
      </c>
      <c r="C678" s="30" t="s">
        <v>818</v>
      </c>
      <c r="D678" s="30" t="s">
        <v>847</v>
      </c>
      <c r="E678" s="30" t="s">
        <v>228</v>
      </c>
      <c r="F678" s="41">
        <f>4077.9-3500</f>
        <v>577.90000000000009</v>
      </c>
    </row>
    <row r="679" spans="1:6" s="32" customFormat="1" x14ac:dyDescent="0.2">
      <c r="A679" s="84" t="s">
        <v>394</v>
      </c>
      <c r="B679" s="30" t="s">
        <v>824</v>
      </c>
      <c r="C679" s="30" t="s">
        <v>818</v>
      </c>
      <c r="D679" s="30" t="s">
        <v>847</v>
      </c>
      <c r="E679" s="52" t="s">
        <v>733</v>
      </c>
      <c r="F679" s="41">
        <f>F680</f>
        <v>3500</v>
      </c>
    </row>
    <row r="680" spans="1:6" s="32" customFormat="1" x14ac:dyDescent="0.2">
      <c r="A680" s="84" t="s">
        <v>734</v>
      </c>
      <c r="B680" s="30" t="s">
        <v>824</v>
      </c>
      <c r="C680" s="30" t="s">
        <v>818</v>
      </c>
      <c r="D680" s="30" t="s">
        <v>847</v>
      </c>
      <c r="E680" s="52" t="s">
        <v>735</v>
      </c>
      <c r="F680" s="41">
        <v>3500</v>
      </c>
    </row>
    <row r="681" spans="1:6" s="32" customFormat="1" x14ac:dyDescent="0.2">
      <c r="A681" s="80" t="s">
        <v>689</v>
      </c>
      <c r="B681" s="24" t="s">
        <v>822</v>
      </c>
      <c r="C681" s="24" t="s">
        <v>215</v>
      </c>
      <c r="D681" s="24"/>
      <c r="E681" s="24"/>
      <c r="F681" s="42">
        <f>F682+F699</f>
        <v>127633.91941</v>
      </c>
    </row>
    <row r="682" spans="1:6" s="32" customFormat="1" x14ac:dyDescent="0.2">
      <c r="A682" s="80" t="s">
        <v>678</v>
      </c>
      <c r="B682" s="24" t="s">
        <v>822</v>
      </c>
      <c r="C682" s="24" t="s">
        <v>214</v>
      </c>
      <c r="D682" s="24"/>
      <c r="E682" s="24"/>
      <c r="F682" s="42">
        <f>F683</f>
        <v>101870.11941</v>
      </c>
    </row>
    <row r="683" spans="1:6" s="32" customFormat="1" ht="27" x14ac:dyDescent="0.2">
      <c r="A683" s="86" t="s">
        <v>548</v>
      </c>
      <c r="B683" s="53" t="s">
        <v>822</v>
      </c>
      <c r="C683" s="53" t="s">
        <v>214</v>
      </c>
      <c r="D683" s="53" t="s">
        <v>427</v>
      </c>
      <c r="E683" s="53"/>
      <c r="F683" s="57">
        <f>F684</f>
        <v>101870.11941</v>
      </c>
    </row>
    <row r="684" spans="1:6" s="32" customFormat="1" x14ac:dyDescent="0.2">
      <c r="A684" s="80" t="s">
        <v>651</v>
      </c>
      <c r="B684" s="24" t="s">
        <v>822</v>
      </c>
      <c r="C684" s="24" t="s">
        <v>214</v>
      </c>
      <c r="D684" s="24" t="s">
        <v>428</v>
      </c>
      <c r="E684" s="24"/>
      <c r="F684" s="42">
        <f>F685+F689+F692+F696</f>
        <v>101870.11941</v>
      </c>
    </row>
    <row r="685" spans="1:6" s="32" customFormat="1" ht="24" x14ac:dyDescent="0.2">
      <c r="A685" s="80" t="s">
        <v>466</v>
      </c>
      <c r="B685" s="24" t="s">
        <v>822</v>
      </c>
      <c r="C685" s="24" t="s">
        <v>214</v>
      </c>
      <c r="D685" s="24" t="s">
        <v>436</v>
      </c>
      <c r="E685" s="24"/>
      <c r="F685" s="42">
        <f>F686</f>
        <v>29504.621319999998</v>
      </c>
    </row>
    <row r="686" spans="1:6" s="32" customFormat="1" x14ac:dyDescent="0.2">
      <c r="A686" s="85" t="s">
        <v>730</v>
      </c>
      <c r="B686" s="33" t="s">
        <v>822</v>
      </c>
      <c r="C686" s="33" t="s">
        <v>214</v>
      </c>
      <c r="D686" s="33" t="s">
        <v>94</v>
      </c>
      <c r="E686" s="33"/>
      <c r="F686" s="101">
        <f>F687</f>
        <v>29504.621319999998</v>
      </c>
    </row>
    <row r="687" spans="1:6" s="32" customFormat="1" x14ac:dyDescent="0.2">
      <c r="A687" s="84" t="s">
        <v>246</v>
      </c>
      <c r="B687" s="30" t="s">
        <v>822</v>
      </c>
      <c r="C687" s="30" t="s">
        <v>214</v>
      </c>
      <c r="D687" s="30" t="s">
        <v>94</v>
      </c>
      <c r="E687" s="30" t="s">
        <v>702</v>
      </c>
      <c r="F687" s="41">
        <f>F688</f>
        <v>29504.621319999998</v>
      </c>
    </row>
    <row r="688" spans="1:6" s="32" customFormat="1" x14ac:dyDescent="0.2">
      <c r="A688" s="84" t="s">
        <v>247</v>
      </c>
      <c r="B688" s="30" t="s">
        <v>822</v>
      </c>
      <c r="C688" s="30" t="s">
        <v>214</v>
      </c>
      <c r="D688" s="30" t="s">
        <v>94</v>
      </c>
      <c r="E688" s="30" t="s">
        <v>724</v>
      </c>
      <c r="F688" s="41">
        <f>11087.1+18417.52132</f>
        <v>29504.621319999998</v>
      </c>
    </row>
    <row r="689" spans="1:6" s="32" customFormat="1" ht="24" x14ac:dyDescent="0.2">
      <c r="A689" s="83" t="s">
        <v>140</v>
      </c>
      <c r="B689" s="25" t="s">
        <v>822</v>
      </c>
      <c r="C689" s="25" t="s">
        <v>214</v>
      </c>
      <c r="D689" s="25" t="s">
        <v>437</v>
      </c>
      <c r="E689" s="25"/>
      <c r="F689" s="122">
        <f>F690</f>
        <v>38358</v>
      </c>
    </row>
    <row r="690" spans="1:6" s="32" customFormat="1" x14ac:dyDescent="0.2">
      <c r="A690" s="84" t="s">
        <v>246</v>
      </c>
      <c r="B690" s="30" t="s">
        <v>822</v>
      </c>
      <c r="C690" s="30" t="s">
        <v>214</v>
      </c>
      <c r="D690" s="30" t="s">
        <v>437</v>
      </c>
      <c r="E690" s="30" t="s">
        <v>702</v>
      </c>
      <c r="F690" s="118">
        <f>F691</f>
        <v>38358</v>
      </c>
    </row>
    <row r="691" spans="1:6" s="32" customFormat="1" x14ac:dyDescent="0.2">
      <c r="A691" s="84" t="s">
        <v>247</v>
      </c>
      <c r="B691" s="30" t="s">
        <v>822</v>
      </c>
      <c r="C691" s="30" t="s">
        <v>214</v>
      </c>
      <c r="D691" s="30" t="s">
        <v>437</v>
      </c>
      <c r="E691" s="30" t="s">
        <v>724</v>
      </c>
      <c r="F691" s="118">
        <f>36758+1600</f>
        <v>38358</v>
      </c>
    </row>
    <row r="692" spans="1:6" s="32" customFormat="1" ht="12.75" customHeight="1" x14ac:dyDescent="0.2">
      <c r="A692" s="80" t="s">
        <v>653</v>
      </c>
      <c r="B692" s="24" t="s">
        <v>822</v>
      </c>
      <c r="C692" s="24" t="s">
        <v>214</v>
      </c>
      <c r="D692" s="24" t="s">
        <v>438</v>
      </c>
      <c r="E692" s="24"/>
      <c r="F692" s="42">
        <f>F693</f>
        <v>33920.699999999997</v>
      </c>
    </row>
    <row r="693" spans="1:6" s="32" customFormat="1" x14ac:dyDescent="0.2">
      <c r="A693" s="85" t="s">
        <v>95</v>
      </c>
      <c r="B693" s="33" t="s">
        <v>822</v>
      </c>
      <c r="C693" s="33" t="s">
        <v>214</v>
      </c>
      <c r="D693" s="33" t="s">
        <v>96</v>
      </c>
      <c r="E693" s="25"/>
      <c r="F693" s="101">
        <f>F694</f>
        <v>33920.699999999997</v>
      </c>
    </row>
    <row r="694" spans="1:6" s="32" customFormat="1" x14ac:dyDescent="0.2">
      <c r="A694" s="84" t="s">
        <v>246</v>
      </c>
      <c r="B694" s="30" t="s">
        <v>822</v>
      </c>
      <c r="C694" s="30" t="s">
        <v>214</v>
      </c>
      <c r="D694" s="30" t="s">
        <v>96</v>
      </c>
      <c r="E694" s="30" t="s">
        <v>702</v>
      </c>
      <c r="F694" s="41">
        <f>F695</f>
        <v>33920.699999999997</v>
      </c>
    </row>
    <row r="695" spans="1:6" s="32" customFormat="1" x14ac:dyDescent="0.2">
      <c r="A695" s="84" t="s">
        <v>247</v>
      </c>
      <c r="B695" s="30" t="s">
        <v>822</v>
      </c>
      <c r="C695" s="30" t="s">
        <v>214</v>
      </c>
      <c r="D695" s="30" t="s">
        <v>96</v>
      </c>
      <c r="E695" s="30" t="s">
        <v>724</v>
      </c>
      <c r="F695" s="41">
        <v>33920.699999999997</v>
      </c>
    </row>
    <row r="696" spans="1:6" s="32" customFormat="1" x14ac:dyDescent="0.2">
      <c r="A696" s="80" t="s">
        <v>296</v>
      </c>
      <c r="B696" s="24" t="s">
        <v>822</v>
      </c>
      <c r="C696" s="24" t="s">
        <v>214</v>
      </c>
      <c r="D696" s="24" t="s">
        <v>293</v>
      </c>
      <c r="E696" s="24"/>
      <c r="F696" s="42">
        <f>F697</f>
        <v>86.798090000000002</v>
      </c>
    </row>
    <row r="697" spans="1:6" s="32" customFormat="1" x14ac:dyDescent="0.2">
      <c r="A697" s="84" t="s">
        <v>246</v>
      </c>
      <c r="B697" s="30" t="s">
        <v>822</v>
      </c>
      <c r="C697" s="30" t="s">
        <v>214</v>
      </c>
      <c r="D697" s="30" t="s">
        <v>293</v>
      </c>
      <c r="E697" s="30" t="s">
        <v>702</v>
      </c>
      <c r="F697" s="41">
        <f>F698</f>
        <v>86.798090000000002</v>
      </c>
    </row>
    <row r="698" spans="1:6" s="32" customFormat="1" x14ac:dyDescent="0.2">
      <c r="A698" s="84" t="s">
        <v>247</v>
      </c>
      <c r="B698" s="30" t="s">
        <v>822</v>
      </c>
      <c r="C698" s="30" t="s">
        <v>214</v>
      </c>
      <c r="D698" s="30" t="s">
        <v>293</v>
      </c>
      <c r="E698" s="30" t="s">
        <v>724</v>
      </c>
      <c r="F698" s="41">
        <v>86.798090000000002</v>
      </c>
    </row>
    <row r="699" spans="1:6" s="32" customFormat="1" x14ac:dyDescent="0.2">
      <c r="A699" s="80" t="s">
        <v>799</v>
      </c>
      <c r="B699" s="24" t="s">
        <v>822</v>
      </c>
      <c r="C699" s="24" t="s">
        <v>216</v>
      </c>
      <c r="D699" s="24"/>
      <c r="E699" s="24"/>
      <c r="F699" s="42">
        <f>F700+F734</f>
        <v>25763.8</v>
      </c>
    </row>
    <row r="700" spans="1:6" s="32" customFormat="1" ht="27" x14ac:dyDescent="0.2">
      <c r="A700" s="86" t="s">
        <v>548</v>
      </c>
      <c r="B700" s="53" t="s">
        <v>822</v>
      </c>
      <c r="C700" s="53" t="s">
        <v>216</v>
      </c>
      <c r="D700" s="53" t="s">
        <v>427</v>
      </c>
      <c r="E700" s="53"/>
      <c r="F700" s="57">
        <f>F701+F723</f>
        <v>24163.8</v>
      </c>
    </row>
    <row r="701" spans="1:6" s="32" customFormat="1" ht="13.5" x14ac:dyDescent="0.2">
      <c r="A701" s="86" t="s">
        <v>213</v>
      </c>
      <c r="B701" s="53" t="s">
        <v>822</v>
      </c>
      <c r="C701" s="53" t="s">
        <v>216</v>
      </c>
      <c r="D701" s="53" t="s">
        <v>443</v>
      </c>
      <c r="E701" s="53"/>
      <c r="F701" s="57">
        <f>F702+F705+F708+F711+F714+F717+F720</f>
        <v>20000</v>
      </c>
    </row>
    <row r="702" spans="1:6" s="32" customFormat="1" x14ac:dyDescent="0.2">
      <c r="A702" s="75" t="s">
        <v>251</v>
      </c>
      <c r="B702" s="24" t="s">
        <v>822</v>
      </c>
      <c r="C702" s="24" t="s">
        <v>216</v>
      </c>
      <c r="D702" s="24" t="s">
        <v>98</v>
      </c>
      <c r="E702" s="25"/>
      <c r="F702" s="42">
        <f>F703</f>
        <v>17950</v>
      </c>
    </row>
    <row r="703" spans="1:6" s="32" customFormat="1" x14ac:dyDescent="0.2">
      <c r="A703" s="84" t="s">
        <v>473</v>
      </c>
      <c r="B703" s="30" t="s">
        <v>822</v>
      </c>
      <c r="C703" s="30" t="s">
        <v>216</v>
      </c>
      <c r="D703" s="30" t="s">
        <v>98</v>
      </c>
      <c r="E703" s="30" t="s">
        <v>226</v>
      </c>
      <c r="F703" s="41">
        <f>F704</f>
        <v>17950</v>
      </c>
    </row>
    <row r="704" spans="1:6" s="32" customFormat="1" x14ac:dyDescent="0.2">
      <c r="A704" s="84" t="s">
        <v>227</v>
      </c>
      <c r="B704" s="30" t="s">
        <v>822</v>
      </c>
      <c r="C704" s="30" t="s">
        <v>216</v>
      </c>
      <c r="D704" s="30" t="s">
        <v>98</v>
      </c>
      <c r="E704" s="30" t="s">
        <v>228</v>
      </c>
      <c r="F704" s="41">
        <v>17950</v>
      </c>
    </row>
    <row r="705" spans="1:6" s="32" customFormat="1" ht="13.5" x14ac:dyDescent="0.2">
      <c r="A705" s="129" t="s">
        <v>563</v>
      </c>
      <c r="B705" s="24" t="s">
        <v>822</v>
      </c>
      <c r="C705" s="24" t="s">
        <v>216</v>
      </c>
      <c r="D705" s="24" t="s">
        <v>97</v>
      </c>
      <c r="E705" s="53"/>
      <c r="F705" s="42">
        <f>F706</f>
        <v>500</v>
      </c>
    </row>
    <row r="706" spans="1:6" s="32" customFormat="1" x14ac:dyDescent="0.2">
      <c r="A706" s="84" t="s">
        <v>473</v>
      </c>
      <c r="B706" s="30" t="s">
        <v>822</v>
      </c>
      <c r="C706" s="30" t="s">
        <v>216</v>
      </c>
      <c r="D706" s="30" t="s">
        <v>97</v>
      </c>
      <c r="E706" s="30" t="s">
        <v>226</v>
      </c>
      <c r="F706" s="41">
        <f>F707</f>
        <v>500</v>
      </c>
    </row>
    <row r="707" spans="1:6" s="32" customFormat="1" x14ac:dyDescent="0.2">
      <c r="A707" s="84" t="s">
        <v>227</v>
      </c>
      <c r="B707" s="30" t="s">
        <v>822</v>
      </c>
      <c r="C707" s="30" t="s">
        <v>216</v>
      </c>
      <c r="D707" s="30" t="s">
        <v>97</v>
      </c>
      <c r="E707" s="30" t="s">
        <v>228</v>
      </c>
      <c r="F707" s="41">
        <v>500</v>
      </c>
    </row>
    <row r="708" spans="1:6" s="32" customFormat="1" ht="24" x14ac:dyDescent="0.2">
      <c r="A708" s="80" t="s">
        <v>600</v>
      </c>
      <c r="B708" s="24" t="s">
        <v>822</v>
      </c>
      <c r="C708" s="24" t="s">
        <v>216</v>
      </c>
      <c r="D708" s="24" t="s">
        <v>99</v>
      </c>
      <c r="E708" s="24"/>
      <c r="F708" s="42">
        <f>F709</f>
        <v>200</v>
      </c>
    </row>
    <row r="709" spans="1:6" s="32" customFormat="1" x14ac:dyDescent="0.2">
      <c r="A709" s="84" t="s">
        <v>473</v>
      </c>
      <c r="B709" s="30" t="s">
        <v>822</v>
      </c>
      <c r="C709" s="30" t="s">
        <v>216</v>
      </c>
      <c r="D709" s="30" t="s">
        <v>99</v>
      </c>
      <c r="E709" s="30" t="s">
        <v>226</v>
      </c>
      <c r="F709" s="41">
        <f>F710</f>
        <v>200</v>
      </c>
    </row>
    <row r="710" spans="1:6" s="32" customFormat="1" x14ac:dyDescent="0.2">
      <c r="A710" s="84" t="s">
        <v>227</v>
      </c>
      <c r="B710" s="30" t="s">
        <v>822</v>
      </c>
      <c r="C710" s="30" t="s">
        <v>216</v>
      </c>
      <c r="D710" s="30" t="s">
        <v>99</v>
      </c>
      <c r="E710" s="30" t="s">
        <v>228</v>
      </c>
      <c r="F710" s="41">
        <v>200</v>
      </c>
    </row>
    <row r="711" spans="1:6" s="32" customFormat="1" ht="24" x14ac:dyDescent="0.2">
      <c r="A711" s="80" t="s">
        <v>601</v>
      </c>
      <c r="B711" s="24" t="s">
        <v>822</v>
      </c>
      <c r="C711" s="24" t="s">
        <v>216</v>
      </c>
      <c r="D711" s="24" t="s">
        <v>100</v>
      </c>
      <c r="E711" s="24"/>
      <c r="F711" s="42">
        <f>F712</f>
        <v>50</v>
      </c>
    </row>
    <row r="712" spans="1:6" s="32" customFormat="1" x14ac:dyDescent="0.2">
      <c r="A712" s="84" t="s">
        <v>473</v>
      </c>
      <c r="B712" s="30" t="s">
        <v>822</v>
      </c>
      <c r="C712" s="30" t="s">
        <v>216</v>
      </c>
      <c r="D712" s="30" t="s">
        <v>100</v>
      </c>
      <c r="E712" s="30" t="s">
        <v>226</v>
      </c>
      <c r="F712" s="41">
        <f>F713</f>
        <v>50</v>
      </c>
    </row>
    <row r="713" spans="1:6" s="32" customFormat="1" x14ac:dyDescent="0.2">
      <c r="A713" s="84" t="s">
        <v>227</v>
      </c>
      <c r="B713" s="30" t="s">
        <v>822</v>
      </c>
      <c r="C713" s="30" t="s">
        <v>216</v>
      </c>
      <c r="D713" s="30" t="s">
        <v>100</v>
      </c>
      <c r="E713" s="30" t="s">
        <v>228</v>
      </c>
      <c r="F713" s="41">
        <v>50</v>
      </c>
    </row>
    <row r="714" spans="1:6" s="32" customFormat="1" ht="24" x14ac:dyDescent="0.2">
      <c r="A714" s="80" t="s">
        <v>759</v>
      </c>
      <c r="B714" s="24" t="s">
        <v>822</v>
      </c>
      <c r="C714" s="24" t="s">
        <v>216</v>
      </c>
      <c r="D714" s="24" t="s">
        <v>101</v>
      </c>
      <c r="E714" s="24"/>
      <c r="F714" s="42">
        <f>F715</f>
        <v>500</v>
      </c>
    </row>
    <row r="715" spans="1:6" s="32" customFormat="1" x14ac:dyDescent="0.2">
      <c r="A715" s="84" t="s">
        <v>473</v>
      </c>
      <c r="B715" s="30" t="s">
        <v>822</v>
      </c>
      <c r="C715" s="30" t="s">
        <v>216</v>
      </c>
      <c r="D715" s="30" t="s">
        <v>101</v>
      </c>
      <c r="E715" s="30" t="s">
        <v>226</v>
      </c>
      <c r="F715" s="41">
        <f>F716</f>
        <v>500</v>
      </c>
    </row>
    <row r="716" spans="1:6" s="32" customFormat="1" x14ac:dyDescent="0.2">
      <c r="A716" s="84" t="s">
        <v>227</v>
      </c>
      <c r="B716" s="30" t="s">
        <v>822</v>
      </c>
      <c r="C716" s="30" t="s">
        <v>216</v>
      </c>
      <c r="D716" s="30" t="s">
        <v>101</v>
      </c>
      <c r="E716" s="30" t="s">
        <v>228</v>
      </c>
      <c r="F716" s="41">
        <v>500</v>
      </c>
    </row>
    <row r="717" spans="1:6" s="32" customFormat="1" ht="14.25" customHeight="1" x14ac:dyDescent="0.2">
      <c r="A717" s="80" t="s">
        <v>539</v>
      </c>
      <c r="B717" s="24" t="s">
        <v>822</v>
      </c>
      <c r="C717" s="24" t="s">
        <v>216</v>
      </c>
      <c r="D717" s="24" t="s">
        <v>102</v>
      </c>
      <c r="E717" s="24"/>
      <c r="F717" s="117">
        <f>F718</f>
        <v>500</v>
      </c>
    </row>
    <row r="718" spans="1:6" s="32" customFormat="1" x14ac:dyDescent="0.2">
      <c r="A718" s="84" t="s">
        <v>473</v>
      </c>
      <c r="B718" s="30" t="s">
        <v>822</v>
      </c>
      <c r="C718" s="30" t="s">
        <v>216</v>
      </c>
      <c r="D718" s="30" t="s">
        <v>102</v>
      </c>
      <c r="E718" s="30" t="s">
        <v>226</v>
      </c>
      <c r="F718" s="118">
        <f>F719</f>
        <v>500</v>
      </c>
    </row>
    <row r="719" spans="1:6" s="32" customFormat="1" x14ac:dyDescent="0.2">
      <c r="A719" s="84" t="s">
        <v>227</v>
      </c>
      <c r="B719" s="30" t="s">
        <v>822</v>
      </c>
      <c r="C719" s="30" t="s">
        <v>216</v>
      </c>
      <c r="D719" s="30" t="s">
        <v>102</v>
      </c>
      <c r="E719" s="30" t="s">
        <v>228</v>
      </c>
      <c r="F719" s="118">
        <v>500</v>
      </c>
    </row>
    <row r="720" spans="1:6" s="32" customFormat="1" x14ac:dyDescent="0.2">
      <c r="A720" s="80" t="s">
        <v>538</v>
      </c>
      <c r="B720" s="24" t="s">
        <v>822</v>
      </c>
      <c r="C720" s="24" t="s">
        <v>216</v>
      </c>
      <c r="D720" s="24" t="s">
        <v>103</v>
      </c>
      <c r="E720" s="24"/>
      <c r="F720" s="42">
        <f>F721</f>
        <v>300</v>
      </c>
    </row>
    <row r="721" spans="1:6" s="32" customFormat="1" x14ac:dyDescent="0.2">
      <c r="A721" s="84" t="s">
        <v>473</v>
      </c>
      <c r="B721" s="30" t="s">
        <v>822</v>
      </c>
      <c r="C721" s="30" t="s">
        <v>216</v>
      </c>
      <c r="D721" s="30" t="s">
        <v>103</v>
      </c>
      <c r="E721" s="30" t="s">
        <v>226</v>
      </c>
      <c r="F721" s="41">
        <f>F722</f>
        <v>300</v>
      </c>
    </row>
    <row r="722" spans="1:6" s="32" customFormat="1" x14ac:dyDescent="0.2">
      <c r="A722" s="84" t="s">
        <v>227</v>
      </c>
      <c r="B722" s="30" t="s">
        <v>822</v>
      </c>
      <c r="C722" s="30" t="s">
        <v>216</v>
      </c>
      <c r="D722" s="30" t="s">
        <v>103</v>
      </c>
      <c r="E722" s="30" t="s">
        <v>228</v>
      </c>
      <c r="F722" s="41">
        <v>300</v>
      </c>
    </row>
    <row r="723" spans="1:6" s="32" customFormat="1" ht="15" customHeight="1" x14ac:dyDescent="0.2">
      <c r="A723" s="86" t="s">
        <v>440</v>
      </c>
      <c r="B723" s="53" t="s">
        <v>822</v>
      </c>
      <c r="C723" s="53" t="s">
        <v>216</v>
      </c>
      <c r="D723" s="53" t="s">
        <v>442</v>
      </c>
      <c r="E723" s="53"/>
      <c r="F723" s="57">
        <f>F724</f>
        <v>4163.8</v>
      </c>
    </row>
    <row r="724" spans="1:6" s="32" customFormat="1" x14ac:dyDescent="0.2">
      <c r="A724" s="80" t="s">
        <v>441</v>
      </c>
      <c r="B724" s="24" t="s">
        <v>822</v>
      </c>
      <c r="C724" s="24" t="s">
        <v>216</v>
      </c>
      <c r="D724" s="24" t="s">
        <v>442</v>
      </c>
      <c r="E724" s="24"/>
      <c r="F724" s="42">
        <f>F725</f>
        <v>4163.8</v>
      </c>
    </row>
    <row r="725" spans="1:6" s="32" customFormat="1" ht="24" x14ac:dyDescent="0.2">
      <c r="A725" s="83" t="s">
        <v>704</v>
      </c>
      <c r="B725" s="25" t="s">
        <v>822</v>
      </c>
      <c r="C725" s="25" t="s">
        <v>216</v>
      </c>
      <c r="D725" s="33" t="s">
        <v>442</v>
      </c>
      <c r="E725" s="25"/>
      <c r="F725" s="45">
        <f>F726+F729</f>
        <v>4163.8</v>
      </c>
    </row>
    <row r="726" spans="1:6" s="32" customFormat="1" x14ac:dyDescent="0.2">
      <c r="A726" s="82" t="s">
        <v>685</v>
      </c>
      <c r="B726" s="24" t="s">
        <v>822</v>
      </c>
      <c r="C726" s="24" t="s">
        <v>216</v>
      </c>
      <c r="D726" s="24" t="s">
        <v>210</v>
      </c>
      <c r="E726" s="24"/>
      <c r="F726" s="42">
        <f>F727</f>
        <v>3860.2</v>
      </c>
    </row>
    <row r="727" spans="1:6" s="32" customFormat="1" ht="24" x14ac:dyDescent="0.2">
      <c r="A727" s="84" t="s">
        <v>217</v>
      </c>
      <c r="B727" s="30" t="s">
        <v>822</v>
      </c>
      <c r="C727" s="30" t="s">
        <v>216</v>
      </c>
      <c r="D727" s="30" t="s">
        <v>210</v>
      </c>
      <c r="E727" s="30" t="s">
        <v>218</v>
      </c>
      <c r="F727" s="41">
        <f>F728</f>
        <v>3860.2</v>
      </c>
    </row>
    <row r="728" spans="1:6" s="32" customFormat="1" x14ac:dyDescent="0.2">
      <c r="A728" s="84" t="s">
        <v>219</v>
      </c>
      <c r="B728" s="30" t="s">
        <v>822</v>
      </c>
      <c r="C728" s="30" t="s">
        <v>216</v>
      </c>
      <c r="D728" s="30" t="s">
        <v>210</v>
      </c>
      <c r="E728" s="30" t="s">
        <v>224</v>
      </c>
      <c r="F728" s="41">
        <f>3775+85.2</f>
        <v>3860.2</v>
      </c>
    </row>
    <row r="729" spans="1:6" s="32" customFormat="1" x14ac:dyDescent="0.2">
      <c r="A729" s="80" t="s">
        <v>225</v>
      </c>
      <c r="B729" s="24" t="s">
        <v>822</v>
      </c>
      <c r="C729" s="24" t="s">
        <v>216</v>
      </c>
      <c r="D729" s="24" t="s">
        <v>211</v>
      </c>
      <c r="E729" s="24"/>
      <c r="F729" s="42">
        <f>F730+F732</f>
        <v>303.60000000000002</v>
      </c>
    </row>
    <row r="730" spans="1:6" s="32" customFormat="1" x14ac:dyDescent="0.2">
      <c r="A730" s="84" t="s">
        <v>473</v>
      </c>
      <c r="B730" s="30" t="s">
        <v>822</v>
      </c>
      <c r="C730" s="30" t="s">
        <v>216</v>
      </c>
      <c r="D730" s="30" t="s">
        <v>211</v>
      </c>
      <c r="E730" s="30" t="s">
        <v>226</v>
      </c>
      <c r="F730" s="41">
        <f>F731</f>
        <v>271.8</v>
      </c>
    </row>
    <row r="731" spans="1:6" s="32" customFormat="1" x14ac:dyDescent="0.2">
      <c r="A731" s="84" t="s">
        <v>227</v>
      </c>
      <c r="B731" s="30" t="s">
        <v>822</v>
      </c>
      <c r="C731" s="30" t="s">
        <v>216</v>
      </c>
      <c r="D731" s="30" t="s">
        <v>211</v>
      </c>
      <c r="E731" s="30" t="s">
        <v>228</v>
      </c>
      <c r="F731" s="41">
        <f>248.8+23</f>
        <v>271.8</v>
      </c>
    </row>
    <row r="732" spans="1:6" s="32" customFormat="1" x14ac:dyDescent="0.2">
      <c r="A732" s="84" t="s">
        <v>229</v>
      </c>
      <c r="B732" s="30" t="s">
        <v>822</v>
      </c>
      <c r="C732" s="30" t="s">
        <v>216</v>
      </c>
      <c r="D732" s="30" t="s">
        <v>211</v>
      </c>
      <c r="E732" s="30" t="s">
        <v>230</v>
      </c>
      <c r="F732" s="41">
        <f>F733</f>
        <v>31.799999999999997</v>
      </c>
    </row>
    <row r="733" spans="1:6" s="32" customFormat="1" x14ac:dyDescent="0.2">
      <c r="A733" s="84" t="s">
        <v>106</v>
      </c>
      <c r="B733" s="30" t="s">
        <v>822</v>
      </c>
      <c r="C733" s="30" t="s">
        <v>216</v>
      </c>
      <c r="D733" s="30" t="s">
        <v>211</v>
      </c>
      <c r="E733" s="30" t="s">
        <v>231</v>
      </c>
      <c r="F733" s="41">
        <f>140-108.2</f>
        <v>31.799999999999997</v>
      </c>
    </row>
    <row r="734" spans="1:6" s="32" customFormat="1" ht="27" x14ac:dyDescent="0.2">
      <c r="A734" s="86" t="s">
        <v>550</v>
      </c>
      <c r="B734" s="53" t="s">
        <v>822</v>
      </c>
      <c r="C734" s="53" t="s">
        <v>216</v>
      </c>
      <c r="D734" s="53" t="s">
        <v>444</v>
      </c>
      <c r="E734" s="53"/>
      <c r="F734" s="57">
        <f>F735+F740</f>
        <v>1600</v>
      </c>
    </row>
    <row r="735" spans="1:6" s="32" customFormat="1" x14ac:dyDescent="0.2">
      <c r="A735" s="75" t="s">
        <v>286</v>
      </c>
      <c r="B735" s="24" t="s">
        <v>822</v>
      </c>
      <c r="C735" s="24" t="s">
        <v>216</v>
      </c>
      <c r="D735" s="24" t="s">
        <v>846</v>
      </c>
      <c r="E735" s="24"/>
      <c r="F735" s="42">
        <f>F736+F738</f>
        <v>600</v>
      </c>
    </row>
    <row r="736" spans="1:6" s="32" customFormat="1" x14ac:dyDescent="0.2">
      <c r="A736" s="84" t="s">
        <v>473</v>
      </c>
      <c r="B736" s="30" t="s">
        <v>822</v>
      </c>
      <c r="C736" s="30" t="s">
        <v>216</v>
      </c>
      <c r="D736" s="30" t="s">
        <v>846</v>
      </c>
      <c r="E736" s="30" t="s">
        <v>226</v>
      </c>
      <c r="F736" s="41">
        <f>F737</f>
        <v>600</v>
      </c>
    </row>
    <row r="737" spans="1:6" s="32" customFormat="1" x14ac:dyDescent="0.2">
      <c r="A737" s="84" t="s">
        <v>227</v>
      </c>
      <c r="B737" s="30" t="s">
        <v>822</v>
      </c>
      <c r="C737" s="30" t="s">
        <v>216</v>
      </c>
      <c r="D737" s="30" t="s">
        <v>846</v>
      </c>
      <c r="E737" s="30" t="s">
        <v>228</v>
      </c>
      <c r="F737" s="41">
        <v>600</v>
      </c>
    </row>
    <row r="738" spans="1:6" s="32" customFormat="1" x14ac:dyDescent="0.2">
      <c r="A738" s="84" t="s">
        <v>394</v>
      </c>
      <c r="B738" s="30" t="s">
        <v>822</v>
      </c>
      <c r="C738" s="30" t="s">
        <v>216</v>
      </c>
      <c r="D738" s="30" t="s">
        <v>846</v>
      </c>
      <c r="E738" s="30" t="s">
        <v>733</v>
      </c>
      <c r="F738" s="118">
        <f>F739</f>
        <v>0</v>
      </c>
    </row>
    <row r="739" spans="1:6" s="32" customFormat="1" x14ac:dyDescent="0.2">
      <c r="A739" s="84" t="s">
        <v>734</v>
      </c>
      <c r="B739" s="30" t="s">
        <v>822</v>
      </c>
      <c r="C739" s="30" t="s">
        <v>216</v>
      </c>
      <c r="D739" s="30" t="s">
        <v>846</v>
      </c>
      <c r="E739" s="30" t="s">
        <v>735</v>
      </c>
      <c r="F739" s="118">
        <f>500-500</f>
        <v>0</v>
      </c>
    </row>
    <row r="740" spans="1:6" s="32" customFormat="1" x14ac:dyDescent="0.2">
      <c r="A740" s="80" t="s">
        <v>486</v>
      </c>
      <c r="B740" s="24" t="s">
        <v>822</v>
      </c>
      <c r="C740" s="24" t="s">
        <v>216</v>
      </c>
      <c r="D740" s="24" t="s">
        <v>485</v>
      </c>
      <c r="E740" s="24"/>
      <c r="F740" s="42">
        <f>F741</f>
        <v>1000</v>
      </c>
    </row>
    <row r="741" spans="1:6" s="32" customFormat="1" x14ac:dyDescent="0.2">
      <c r="A741" s="84" t="s">
        <v>394</v>
      </c>
      <c r="B741" s="30" t="s">
        <v>822</v>
      </c>
      <c r="C741" s="30" t="s">
        <v>216</v>
      </c>
      <c r="D741" s="30" t="s">
        <v>485</v>
      </c>
      <c r="E741" s="30" t="s">
        <v>733</v>
      </c>
      <c r="F741" s="41">
        <f>F742</f>
        <v>1000</v>
      </c>
    </row>
    <row r="742" spans="1:6" s="32" customFormat="1" x14ac:dyDescent="0.2">
      <c r="A742" s="84" t="s">
        <v>734</v>
      </c>
      <c r="B742" s="30" t="s">
        <v>822</v>
      </c>
      <c r="C742" s="30" t="s">
        <v>216</v>
      </c>
      <c r="D742" s="30" t="s">
        <v>485</v>
      </c>
      <c r="E742" s="30" t="s">
        <v>735</v>
      </c>
      <c r="F742" s="41">
        <f>500+500</f>
        <v>1000</v>
      </c>
    </row>
    <row r="743" spans="1:6" s="32" customFormat="1" x14ac:dyDescent="0.2">
      <c r="A743" s="80" t="s">
        <v>700</v>
      </c>
      <c r="B743" s="24" t="s">
        <v>107</v>
      </c>
      <c r="C743" s="24" t="s">
        <v>215</v>
      </c>
      <c r="D743" s="24"/>
      <c r="E743" s="24"/>
      <c r="F743" s="42">
        <f>F744+F750+F779</f>
        <v>69752.591749999992</v>
      </c>
    </row>
    <row r="744" spans="1:6" s="32" customFormat="1" x14ac:dyDescent="0.2">
      <c r="A744" s="80" t="s">
        <v>681</v>
      </c>
      <c r="B744" s="24" t="s">
        <v>107</v>
      </c>
      <c r="C744" s="24" t="s">
        <v>214</v>
      </c>
      <c r="D744" s="24" t="s">
        <v>382</v>
      </c>
      <c r="E744" s="24"/>
      <c r="F744" s="42">
        <f>F745</f>
        <v>15500</v>
      </c>
    </row>
    <row r="745" spans="1:6" s="32" customFormat="1" x14ac:dyDescent="0.2">
      <c r="A745" s="83" t="s">
        <v>762</v>
      </c>
      <c r="B745" s="25" t="s">
        <v>107</v>
      </c>
      <c r="C745" s="25" t="s">
        <v>214</v>
      </c>
      <c r="D745" s="25" t="s">
        <v>382</v>
      </c>
      <c r="E745" s="24"/>
      <c r="F745" s="45">
        <f>F746</f>
        <v>15500</v>
      </c>
    </row>
    <row r="746" spans="1:6" s="32" customFormat="1" x14ac:dyDescent="0.2">
      <c r="A746" s="80" t="s">
        <v>476</v>
      </c>
      <c r="B746" s="24" t="s">
        <v>107</v>
      </c>
      <c r="C746" s="24" t="s">
        <v>214</v>
      </c>
      <c r="D746" s="24" t="s">
        <v>383</v>
      </c>
      <c r="E746" s="24"/>
      <c r="F746" s="42">
        <f>F747</f>
        <v>15500</v>
      </c>
    </row>
    <row r="747" spans="1:6" s="32" customFormat="1" ht="24" x14ac:dyDescent="0.2">
      <c r="A747" s="80" t="s">
        <v>694</v>
      </c>
      <c r="B747" s="24" t="s">
        <v>107</v>
      </c>
      <c r="C747" s="24" t="s">
        <v>214</v>
      </c>
      <c r="D747" s="24" t="s">
        <v>545</v>
      </c>
      <c r="E747" s="24"/>
      <c r="F747" s="42">
        <f>F748</f>
        <v>15500</v>
      </c>
    </row>
    <row r="748" spans="1:6" s="32" customFormat="1" x14ac:dyDescent="0.2">
      <c r="A748" s="84" t="s">
        <v>237</v>
      </c>
      <c r="B748" s="30" t="s">
        <v>107</v>
      </c>
      <c r="C748" s="30" t="s">
        <v>214</v>
      </c>
      <c r="D748" s="30" t="s">
        <v>545</v>
      </c>
      <c r="E748" s="30" t="s">
        <v>236</v>
      </c>
      <c r="F748" s="41">
        <f>F749</f>
        <v>15500</v>
      </c>
    </row>
    <row r="749" spans="1:6" s="32" customFormat="1" x14ac:dyDescent="0.2">
      <c r="A749" s="84" t="s">
        <v>314</v>
      </c>
      <c r="B749" s="30" t="s">
        <v>107</v>
      </c>
      <c r="C749" s="30" t="s">
        <v>214</v>
      </c>
      <c r="D749" s="30" t="s">
        <v>545</v>
      </c>
      <c r="E749" s="30" t="s">
        <v>110</v>
      </c>
      <c r="F749" s="41">
        <v>15500</v>
      </c>
    </row>
    <row r="750" spans="1:6" s="32" customFormat="1" x14ac:dyDescent="0.2">
      <c r="A750" s="80" t="s">
        <v>687</v>
      </c>
      <c r="B750" s="24" t="s">
        <v>107</v>
      </c>
      <c r="C750" s="24" t="s">
        <v>817</v>
      </c>
      <c r="D750" s="24"/>
      <c r="E750" s="24"/>
      <c r="F750" s="42">
        <f>F751+F755+F764</f>
        <v>40752.59175</v>
      </c>
    </row>
    <row r="751" spans="1:6" s="32" customFormat="1" ht="27" x14ac:dyDescent="0.2">
      <c r="A751" s="86" t="s">
        <v>547</v>
      </c>
      <c r="B751" s="53" t="s">
        <v>107</v>
      </c>
      <c r="C751" s="53" t="s">
        <v>817</v>
      </c>
      <c r="D751" s="93" t="s">
        <v>426</v>
      </c>
      <c r="E751" s="53"/>
      <c r="F751" s="57">
        <f>F752</f>
        <v>1500</v>
      </c>
    </row>
    <row r="752" spans="1:6" s="32" customFormat="1" ht="24" x14ac:dyDescent="0.2">
      <c r="A752" s="75" t="s">
        <v>172</v>
      </c>
      <c r="B752" s="24" t="s">
        <v>107</v>
      </c>
      <c r="C752" s="24" t="s">
        <v>817</v>
      </c>
      <c r="D752" s="43" t="s">
        <v>40</v>
      </c>
      <c r="E752" s="24"/>
      <c r="F752" s="42">
        <f>F753</f>
        <v>1500</v>
      </c>
    </row>
    <row r="753" spans="1:6" s="32" customFormat="1" x14ac:dyDescent="0.2">
      <c r="A753" s="84" t="s">
        <v>237</v>
      </c>
      <c r="B753" s="30" t="s">
        <v>107</v>
      </c>
      <c r="C753" s="30" t="s">
        <v>817</v>
      </c>
      <c r="D753" s="40" t="s">
        <v>40</v>
      </c>
      <c r="E753" s="30" t="s">
        <v>236</v>
      </c>
      <c r="F753" s="41">
        <f>F754</f>
        <v>1500</v>
      </c>
    </row>
    <row r="754" spans="1:6" s="32" customFormat="1" x14ac:dyDescent="0.2">
      <c r="A754" s="84" t="s">
        <v>314</v>
      </c>
      <c r="B754" s="30" t="s">
        <v>107</v>
      </c>
      <c r="C754" s="30" t="s">
        <v>817</v>
      </c>
      <c r="D754" s="40" t="s">
        <v>40</v>
      </c>
      <c r="E754" s="30" t="s">
        <v>110</v>
      </c>
      <c r="F754" s="41">
        <v>1500</v>
      </c>
    </row>
    <row r="755" spans="1:6" s="32" customFormat="1" ht="27" x14ac:dyDescent="0.2">
      <c r="A755" s="86" t="s">
        <v>831</v>
      </c>
      <c r="B755" s="53" t="s">
        <v>107</v>
      </c>
      <c r="C755" s="53" t="s">
        <v>817</v>
      </c>
      <c r="D755" s="53" t="s">
        <v>323</v>
      </c>
      <c r="E755" s="53"/>
      <c r="F755" s="57">
        <f>F756</f>
        <v>10188.079999999998</v>
      </c>
    </row>
    <row r="756" spans="1:6" s="32" customFormat="1" x14ac:dyDescent="0.2">
      <c r="A756" s="80" t="s">
        <v>461</v>
      </c>
      <c r="B756" s="24" t="s">
        <v>107</v>
      </c>
      <c r="C756" s="24" t="s">
        <v>817</v>
      </c>
      <c r="D756" s="24" t="s">
        <v>332</v>
      </c>
      <c r="E756" s="24"/>
      <c r="F756" s="42">
        <f>F757+F761</f>
        <v>10188.079999999998</v>
      </c>
    </row>
    <row r="757" spans="1:6" s="32" customFormat="1" ht="36" x14ac:dyDescent="0.2">
      <c r="A757" s="83" t="s">
        <v>299</v>
      </c>
      <c r="B757" s="25" t="s">
        <v>107</v>
      </c>
      <c r="C757" s="25" t="s">
        <v>817</v>
      </c>
      <c r="D757" s="25" t="s">
        <v>463</v>
      </c>
      <c r="E757" s="25"/>
      <c r="F757" s="45">
        <f>F758</f>
        <v>9588.0799999999981</v>
      </c>
    </row>
    <row r="758" spans="1:6" s="32" customFormat="1" x14ac:dyDescent="0.2">
      <c r="A758" s="84" t="s">
        <v>246</v>
      </c>
      <c r="B758" s="30" t="s">
        <v>107</v>
      </c>
      <c r="C758" s="30" t="s">
        <v>817</v>
      </c>
      <c r="D758" s="30" t="s">
        <v>463</v>
      </c>
      <c r="E758" s="30" t="s">
        <v>702</v>
      </c>
      <c r="F758" s="41">
        <f>F759+F760</f>
        <v>9588.0799999999981</v>
      </c>
    </row>
    <row r="759" spans="1:6" s="32" customFormat="1" x14ac:dyDescent="0.2">
      <c r="A759" s="84" t="s">
        <v>247</v>
      </c>
      <c r="B759" s="30" t="s">
        <v>107</v>
      </c>
      <c r="C759" s="30" t="s">
        <v>817</v>
      </c>
      <c r="D759" s="30" t="s">
        <v>463</v>
      </c>
      <c r="E759" s="30" t="s">
        <v>724</v>
      </c>
      <c r="F759" s="41">
        <f>16260-7056.22</f>
        <v>9203.7799999999988</v>
      </c>
    </row>
    <row r="760" spans="1:6" s="32" customFormat="1" x14ac:dyDescent="0.2">
      <c r="A760" s="84" t="s">
        <v>108</v>
      </c>
      <c r="B760" s="30" t="s">
        <v>107</v>
      </c>
      <c r="C760" s="30" t="s">
        <v>817</v>
      </c>
      <c r="D760" s="30" t="s">
        <v>463</v>
      </c>
      <c r="E760" s="30" t="s">
        <v>109</v>
      </c>
      <c r="F760" s="41">
        <f>700-315.7</f>
        <v>384.3</v>
      </c>
    </row>
    <row r="761" spans="1:6" s="32" customFormat="1" ht="24" x14ac:dyDescent="0.2">
      <c r="A761" s="75" t="s">
        <v>341</v>
      </c>
      <c r="B761" s="24" t="s">
        <v>107</v>
      </c>
      <c r="C761" s="24" t="s">
        <v>817</v>
      </c>
      <c r="D761" s="24" t="s">
        <v>842</v>
      </c>
      <c r="E761" s="24"/>
      <c r="F761" s="42">
        <f>F762</f>
        <v>600</v>
      </c>
    </row>
    <row r="762" spans="1:6" s="32" customFormat="1" x14ac:dyDescent="0.2">
      <c r="A762" s="84" t="s">
        <v>237</v>
      </c>
      <c r="B762" s="30" t="s">
        <v>107</v>
      </c>
      <c r="C762" s="30" t="s">
        <v>817</v>
      </c>
      <c r="D762" s="30" t="s">
        <v>842</v>
      </c>
      <c r="E762" s="30" t="s">
        <v>236</v>
      </c>
      <c r="F762" s="41">
        <f>F763</f>
        <v>600</v>
      </c>
    </row>
    <row r="763" spans="1:6" s="32" customFormat="1" x14ac:dyDescent="0.2">
      <c r="A763" s="84" t="s">
        <v>238</v>
      </c>
      <c r="B763" s="30" t="s">
        <v>107</v>
      </c>
      <c r="C763" s="30" t="s">
        <v>817</v>
      </c>
      <c r="D763" s="30" t="s">
        <v>842</v>
      </c>
      <c r="E763" s="30" t="s">
        <v>239</v>
      </c>
      <c r="F763" s="41">
        <v>600</v>
      </c>
    </row>
    <row r="764" spans="1:6" s="32" customFormat="1" x14ac:dyDescent="0.2">
      <c r="A764" s="83" t="s">
        <v>762</v>
      </c>
      <c r="B764" s="25" t="s">
        <v>107</v>
      </c>
      <c r="C764" s="25" t="s">
        <v>817</v>
      </c>
      <c r="D764" s="25" t="s">
        <v>382</v>
      </c>
      <c r="E764" s="24"/>
      <c r="F764" s="45">
        <f>F765</f>
        <v>29064.511750000001</v>
      </c>
    </row>
    <row r="765" spans="1:6" s="32" customFormat="1" x14ac:dyDescent="0.2">
      <c r="A765" s="80" t="s">
        <v>476</v>
      </c>
      <c r="B765" s="24" t="s">
        <v>107</v>
      </c>
      <c r="C765" s="24" t="s">
        <v>817</v>
      </c>
      <c r="D765" s="24" t="s">
        <v>383</v>
      </c>
      <c r="E765" s="24"/>
      <c r="F765" s="42">
        <f>F769+F772+F766</f>
        <v>29064.511750000001</v>
      </c>
    </row>
    <row r="766" spans="1:6" s="32" customFormat="1" x14ac:dyDescent="0.2">
      <c r="A766" s="80" t="s">
        <v>222</v>
      </c>
      <c r="B766" s="24" t="s">
        <v>107</v>
      </c>
      <c r="C766" s="24" t="s">
        <v>817</v>
      </c>
      <c r="D766" s="94" t="s">
        <v>223</v>
      </c>
      <c r="E766" s="24"/>
      <c r="F766" s="42">
        <f>F767</f>
        <v>24365.511750000001</v>
      </c>
    </row>
    <row r="767" spans="1:6" s="32" customFormat="1" x14ac:dyDescent="0.2">
      <c r="A767" s="84" t="s">
        <v>237</v>
      </c>
      <c r="B767" s="30" t="s">
        <v>107</v>
      </c>
      <c r="C767" s="30" t="s">
        <v>817</v>
      </c>
      <c r="D767" s="95" t="s">
        <v>223</v>
      </c>
      <c r="E767" s="30" t="s">
        <v>236</v>
      </c>
      <c r="F767" s="41">
        <f>F768</f>
        <v>24365.511750000001</v>
      </c>
    </row>
    <row r="768" spans="1:6" s="32" customFormat="1" x14ac:dyDescent="0.2">
      <c r="A768" s="84" t="s">
        <v>238</v>
      </c>
      <c r="B768" s="30" t="s">
        <v>107</v>
      </c>
      <c r="C768" s="30" t="s">
        <v>817</v>
      </c>
      <c r="D768" s="95" t="s">
        <v>223</v>
      </c>
      <c r="E768" s="30" t="s">
        <v>239</v>
      </c>
      <c r="F768" s="41">
        <v>24365.511750000001</v>
      </c>
    </row>
    <row r="769" spans="1:6" s="32" customFormat="1" x14ac:dyDescent="0.2">
      <c r="A769" s="80" t="s">
        <v>789</v>
      </c>
      <c r="B769" s="24" t="s">
        <v>107</v>
      </c>
      <c r="C769" s="24" t="s">
        <v>817</v>
      </c>
      <c r="D769" s="94" t="s">
        <v>15</v>
      </c>
      <c r="E769" s="24"/>
      <c r="F769" s="42">
        <f>F770</f>
        <v>3000</v>
      </c>
    </row>
    <row r="770" spans="1:6" s="32" customFormat="1" x14ac:dyDescent="0.2">
      <c r="A770" s="84" t="s">
        <v>237</v>
      </c>
      <c r="B770" s="30" t="s">
        <v>107</v>
      </c>
      <c r="C770" s="30" t="s">
        <v>817</v>
      </c>
      <c r="D770" s="95" t="s">
        <v>15</v>
      </c>
      <c r="E770" s="30" t="s">
        <v>236</v>
      </c>
      <c r="F770" s="41">
        <f>F771</f>
        <v>3000</v>
      </c>
    </row>
    <row r="771" spans="1:6" s="32" customFormat="1" x14ac:dyDescent="0.2">
      <c r="A771" s="84" t="s">
        <v>238</v>
      </c>
      <c r="B771" s="30" t="s">
        <v>107</v>
      </c>
      <c r="C771" s="30" t="s">
        <v>817</v>
      </c>
      <c r="D771" s="95" t="s">
        <v>15</v>
      </c>
      <c r="E771" s="30" t="s">
        <v>239</v>
      </c>
      <c r="F771" s="41">
        <v>3000</v>
      </c>
    </row>
    <row r="772" spans="1:6" s="32" customFormat="1" x14ac:dyDescent="0.2">
      <c r="A772" s="80" t="s">
        <v>233</v>
      </c>
      <c r="B772" s="24" t="s">
        <v>107</v>
      </c>
      <c r="C772" s="24" t="s">
        <v>817</v>
      </c>
      <c r="D772" s="24" t="s">
        <v>512</v>
      </c>
      <c r="E772" s="24"/>
      <c r="F772" s="42">
        <f>F773+F775+F777</f>
        <v>1699</v>
      </c>
    </row>
    <row r="773" spans="1:6" s="32" customFormat="1" x14ac:dyDescent="0.2">
      <c r="A773" s="84" t="s">
        <v>237</v>
      </c>
      <c r="B773" s="30" t="s">
        <v>107</v>
      </c>
      <c r="C773" s="30" t="s">
        <v>817</v>
      </c>
      <c r="D773" s="30" t="s">
        <v>512</v>
      </c>
      <c r="E773" s="30" t="s">
        <v>236</v>
      </c>
      <c r="F773" s="41">
        <f>F774</f>
        <v>515</v>
      </c>
    </row>
    <row r="774" spans="1:6" s="32" customFormat="1" x14ac:dyDescent="0.2">
      <c r="A774" s="84" t="s">
        <v>314</v>
      </c>
      <c r="B774" s="30" t="s">
        <v>107</v>
      </c>
      <c r="C774" s="30" t="s">
        <v>817</v>
      </c>
      <c r="D774" s="30" t="s">
        <v>512</v>
      </c>
      <c r="E774" s="30" t="s">
        <v>110</v>
      </c>
      <c r="F774" s="41">
        <f>150+50+80+50+185</f>
        <v>515</v>
      </c>
    </row>
    <row r="775" spans="1:6" s="32" customFormat="1" x14ac:dyDescent="0.2">
      <c r="A775" s="84" t="s">
        <v>473</v>
      </c>
      <c r="B775" s="30" t="s">
        <v>107</v>
      </c>
      <c r="C775" s="30" t="s">
        <v>817</v>
      </c>
      <c r="D775" s="30" t="s">
        <v>512</v>
      </c>
      <c r="E775" s="30" t="s">
        <v>226</v>
      </c>
      <c r="F775" s="41">
        <f>F776</f>
        <v>414</v>
      </c>
    </row>
    <row r="776" spans="1:6" s="32" customFormat="1" x14ac:dyDescent="0.2">
      <c r="A776" s="84" t="s">
        <v>227</v>
      </c>
      <c r="B776" s="30" t="s">
        <v>107</v>
      </c>
      <c r="C776" s="30" t="s">
        <v>817</v>
      </c>
      <c r="D776" s="30" t="s">
        <v>512</v>
      </c>
      <c r="E776" s="30" t="s">
        <v>228</v>
      </c>
      <c r="F776" s="41">
        <f>207+207</f>
        <v>414</v>
      </c>
    </row>
    <row r="777" spans="1:6" s="32" customFormat="1" x14ac:dyDescent="0.2">
      <c r="A777" s="84" t="s">
        <v>246</v>
      </c>
      <c r="B777" s="30" t="s">
        <v>107</v>
      </c>
      <c r="C777" s="30" t="s">
        <v>817</v>
      </c>
      <c r="D777" s="30" t="s">
        <v>512</v>
      </c>
      <c r="E777" s="30" t="s">
        <v>702</v>
      </c>
      <c r="F777" s="41">
        <f>F778</f>
        <v>770</v>
      </c>
    </row>
    <row r="778" spans="1:6" s="32" customFormat="1" x14ac:dyDescent="0.2">
      <c r="A778" s="84" t="s">
        <v>247</v>
      </c>
      <c r="B778" s="30" t="s">
        <v>107</v>
      </c>
      <c r="C778" s="30" t="s">
        <v>817</v>
      </c>
      <c r="D778" s="30" t="s">
        <v>512</v>
      </c>
      <c r="E778" s="30" t="s">
        <v>724</v>
      </c>
      <c r="F778" s="41">
        <v>770</v>
      </c>
    </row>
    <row r="779" spans="1:6" s="32" customFormat="1" x14ac:dyDescent="0.2">
      <c r="A779" s="80" t="s">
        <v>688</v>
      </c>
      <c r="B779" s="24" t="s">
        <v>107</v>
      </c>
      <c r="C779" s="24" t="s">
        <v>216</v>
      </c>
      <c r="D779" s="24"/>
      <c r="E779" s="24"/>
      <c r="F779" s="42">
        <f>F780</f>
        <v>13500</v>
      </c>
    </row>
    <row r="780" spans="1:6" s="32" customFormat="1" ht="27" x14ac:dyDescent="0.2">
      <c r="A780" s="86" t="s">
        <v>831</v>
      </c>
      <c r="B780" s="53" t="s">
        <v>107</v>
      </c>
      <c r="C780" s="53" t="s">
        <v>216</v>
      </c>
      <c r="D780" s="53" t="s">
        <v>323</v>
      </c>
      <c r="E780" s="25"/>
      <c r="F780" s="57">
        <f>F781</f>
        <v>13500</v>
      </c>
    </row>
    <row r="781" spans="1:6" s="32" customFormat="1" x14ac:dyDescent="0.2">
      <c r="A781" s="80" t="s">
        <v>461</v>
      </c>
      <c r="B781" s="24" t="s">
        <v>107</v>
      </c>
      <c r="C781" s="24" t="s">
        <v>216</v>
      </c>
      <c r="D781" s="24" t="s">
        <v>332</v>
      </c>
      <c r="E781" s="24"/>
      <c r="F781" s="42">
        <f>F782</f>
        <v>13500</v>
      </c>
    </row>
    <row r="782" spans="1:6" s="32" customFormat="1" ht="36" x14ac:dyDescent="0.2">
      <c r="A782" s="65" t="s">
        <v>104</v>
      </c>
      <c r="B782" s="33" t="s">
        <v>107</v>
      </c>
      <c r="C782" s="33" t="s">
        <v>216</v>
      </c>
      <c r="D782" s="33" t="s">
        <v>462</v>
      </c>
      <c r="E782" s="33"/>
      <c r="F782" s="101">
        <f>F783</f>
        <v>13500</v>
      </c>
    </row>
    <row r="783" spans="1:6" s="32" customFormat="1" x14ac:dyDescent="0.2">
      <c r="A783" s="84" t="s">
        <v>237</v>
      </c>
      <c r="B783" s="30" t="s">
        <v>107</v>
      </c>
      <c r="C783" s="30" t="s">
        <v>216</v>
      </c>
      <c r="D783" s="30" t="s">
        <v>462</v>
      </c>
      <c r="E783" s="30" t="s">
        <v>236</v>
      </c>
      <c r="F783" s="41">
        <f>F784</f>
        <v>13500</v>
      </c>
    </row>
    <row r="784" spans="1:6" s="32" customFormat="1" x14ac:dyDescent="0.2">
      <c r="A784" s="84" t="s">
        <v>314</v>
      </c>
      <c r="B784" s="30" t="s">
        <v>107</v>
      </c>
      <c r="C784" s="30" t="s">
        <v>216</v>
      </c>
      <c r="D784" s="30" t="s">
        <v>462</v>
      </c>
      <c r="E784" s="30" t="s">
        <v>110</v>
      </c>
      <c r="F784" s="41">
        <v>13500</v>
      </c>
    </row>
    <row r="785" spans="1:6" s="32" customFormat="1" ht="15.75" x14ac:dyDescent="0.2">
      <c r="A785" s="80" t="s">
        <v>691</v>
      </c>
      <c r="B785" s="24" t="s">
        <v>232</v>
      </c>
      <c r="C785" s="24" t="s">
        <v>215</v>
      </c>
      <c r="D785" s="46"/>
      <c r="E785" s="46"/>
      <c r="F785" s="42">
        <f>F786+F792+F800</f>
        <v>10228.458559999999</v>
      </c>
    </row>
    <row r="786" spans="1:6" s="32" customFormat="1" ht="15.75" x14ac:dyDescent="0.2">
      <c r="A786" s="80" t="s">
        <v>201</v>
      </c>
      <c r="B786" s="24" t="s">
        <v>232</v>
      </c>
      <c r="C786" s="24" t="s">
        <v>214</v>
      </c>
      <c r="D786" s="46"/>
      <c r="E786" s="46"/>
      <c r="F786" s="42">
        <f>F787</f>
        <v>4000</v>
      </c>
    </row>
    <row r="787" spans="1:6" s="32" customFormat="1" ht="27" x14ac:dyDescent="0.2">
      <c r="A787" s="86" t="s">
        <v>85</v>
      </c>
      <c r="B787" s="53" t="s">
        <v>232</v>
      </c>
      <c r="C787" s="53" t="s">
        <v>214</v>
      </c>
      <c r="D787" s="53" t="s">
        <v>175</v>
      </c>
      <c r="E787" s="53"/>
      <c r="F787" s="57">
        <f>F788</f>
        <v>4000</v>
      </c>
    </row>
    <row r="788" spans="1:6" s="32" customFormat="1" ht="24" x14ac:dyDescent="0.2">
      <c r="A788" s="80" t="s">
        <v>202</v>
      </c>
      <c r="B788" s="24" t="s">
        <v>232</v>
      </c>
      <c r="C788" s="24" t="s">
        <v>214</v>
      </c>
      <c r="D788" s="24" t="s">
        <v>204</v>
      </c>
      <c r="E788" s="46"/>
      <c r="F788" s="42">
        <f>F789</f>
        <v>4000</v>
      </c>
    </row>
    <row r="789" spans="1:6" s="32" customFormat="1" ht="24" x14ac:dyDescent="0.2">
      <c r="A789" s="83" t="s">
        <v>562</v>
      </c>
      <c r="B789" s="25" t="s">
        <v>232</v>
      </c>
      <c r="C789" s="25" t="s">
        <v>214</v>
      </c>
      <c r="D789" s="25" t="s">
        <v>89</v>
      </c>
      <c r="E789" s="25"/>
      <c r="F789" s="45">
        <f>F790</f>
        <v>4000</v>
      </c>
    </row>
    <row r="790" spans="1:6" s="32" customFormat="1" x14ac:dyDescent="0.2">
      <c r="A790" s="84" t="s">
        <v>473</v>
      </c>
      <c r="B790" s="30" t="s">
        <v>232</v>
      </c>
      <c r="C790" s="30" t="s">
        <v>214</v>
      </c>
      <c r="D790" s="30" t="s">
        <v>89</v>
      </c>
      <c r="E790" s="30" t="s">
        <v>226</v>
      </c>
      <c r="F790" s="41">
        <f>F791</f>
        <v>4000</v>
      </c>
    </row>
    <row r="791" spans="1:6" s="32" customFormat="1" x14ac:dyDescent="0.2">
      <c r="A791" s="84" t="s">
        <v>227</v>
      </c>
      <c r="B791" s="30" t="s">
        <v>232</v>
      </c>
      <c r="C791" s="30" t="s">
        <v>214</v>
      </c>
      <c r="D791" s="30" t="s">
        <v>89</v>
      </c>
      <c r="E791" s="30" t="s">
        <v>228</v>
      </c>
      <c r="F791" s="41">
        <v>4000</v>
      </c>
    </row>
    <row r="792" spans="1:6" s="32" customFormat="1" x14ac:dyDescent="0.2">
      <c r="A792" s="80" t="s">
        <v>313</v>
      </c>
      <c r="B792" s="44" t="s">
        <v>232</v>
      </c>
      <c r="C792" s="44" t="s">
        <v>825</v>
      </c>
      <c r="D792" s="30"/>
      <c r="E792" s="44"/>
      <c r="F792" s="42">
        <f>F793</f>
        <v>2508.45856</v>
      </c>
    </row>
    <row r="793" spans="1:6" s="32" customFormat="1" ht="27" x14ac:dyDescent="0.2">
      <c r="A793" s="86" t="s">
        <v>549</v>
      </c>
      <c r="B793" s="53" t="s">
        <v>232</v>
      </c>
      <c r="C793" s="53" t="s">
        <v>825</v>
      </c>
      <c r="D793" s="53" t="s">
        <v>444</v>
      </c>
      <c r="E793" s="53"/>
      <c r="F793" s="57">
        <f>F794+F797</f>
        <v>2508.45856</v>
      </c>
    </row>
    <row r="794" spans="1:6" s="32" customFormat="1" x14ac:dyDescent="0.2">
      <c r="A794" s="80" t="s">
        <v>11</v>
      </c>
      <c r="B794" s="24" t="s">
        <v>232</v>
      </c>
      <c r="C794" s="24" t="s">
        <v>825</v>
      </c>
      <c r="D794" s="24" t="s">
        <v>12</v>
      </c>
      <c r="E794" s="24"/>
      <c r="F794" s="42">
        <f>F795</f>
        <v>2500</v>
      </c>
    </row>
    <row r="795" spans="1:6" s="32" customFormat="1" x14ac:dyDescent="0.2">
      <c r="A795" s="84" t="s">
        <v>473</v>
      </c>
      <c r="B795" s="52" t="s">
        <v>232</v>
      </c>
      <c r="C795" s="52" t="s">
        <v>825</v>
      </c>
      <c r="D795" s="30" t="s">
        <v>12</v>
      </c>
      <c r="E795" s="30" t="s">
        <v>226</v>
      </c>
      <c r="F795" s="41">
        <f>F796</f>
        <v>2500</v>
      </c>
    </row>
    <row r="796" spans="1:6" s="32" customFormat="1" x14ac:dyDescent="0.2">
      <c r="A796" s="84" t="s">
        <v>227</v>
      </c>
      <c r="B796" s="30" t="s">
        <v>232</v>
      </c>
      <c r="C796" s="30" t="s">
        <v>825</v>
      </c>
      <c r="D796" s="30" t="s">
        <v>12</v>
      </c>
      <c r="E796" s="30" t="s">
        <v>228</v>
      </c>
      <c r="F796" s="41">
        <v>2500</v>
      </c>
    </row>
    <row r="797" spans="1:6" s="32" customFormat="1" x14ac:dyDescent="0.2">
      <c r="A797" s="80" t="s">
        <v>396</v>
      </c>
      <c r="B797" s="24" t="s">
        <v>232</v>
      </c>
      <c r="C797" s="24" t="s">
        <v>825</v>
      </c>
      <c r="D797" s="24" t="s">
        <v>847</v>
      </c>
      <c r="E797" s="24"/>
      <c r="F797" s="42">
        <f>F798</f>
        <v>8.4585600000000003</v>
      </c>
    </row>
    <row r="798" spans="1:6" s="32" customFormat="1" x14ac:dyDescent="0.2">
      <c r="A798" s="84" t="s">
        <v>473</v>
      </c>
      <c r="B798" s="30" t="s">
        <v>232</v>
      </c>
      <c r="C798" s="30" t="s">
        <v>825</v>
      </c>
      <c r="D798" s="30" t="s">
        <v>847</v>
      </c>
      <c r="E798" s="30" t="s">
        <v>226</v>
      </c>
      <c r="F798" s="41">
        <f>F799</f>
        <v>8.4585600000000003</v>
      </c>
    </row>
    <row r="799" spans="1:6" s="32" customFormat="1" x14ac:dyDescent="0.2">
      <c r="A799" s="84" t="s">
        <v>227</v>
      </c>
      <c r="B799" s="30" t="s">
        <v>232</v>
      </c>
      <c r="C799" s="30" t="s">
        <v>825</v>
      </c>
      <c r="D799" s="30" t="s">
        <v>847</v>
      </c>
      <c r="E799" s="30" t="s">
        <v>228</v>
      </c>
      <c r="F799" s="41">
        <v>8.4585600000000003</v>
      </c>
    </row>
    <row r="800" spans="1:6" s="32" customFormat="1" x14ac:dyDescent="0.2">
      <c r="A800" s="80" t="s">
        <v>355</v>
      </c>
      <c r="B800" s="24" t="s">
        <v>232</v>
      </c>
      <c r="C800" s="24" t="s">
        <v>731</v>
      </c>
      <c r="D800" s="24"/>
      <c r="E800" s="24"/>
      <c r="F800" s="42">
        <f>F801</f>
        <v>3720</v>
      </c>
    </row>
    <row r="801" spans="1:6" s="32" customFormat="1" ht="27" x14ac:dyDescent="0.2">
      <c r="A801" s="86" t="s">
        <v>85</v>
      </c>
      <c r="B801" s="53" t="s">
        <v>232</v>
      </c>
      <c r="C801" s="53" t="s">
        <v>731</v>
      </c>
      <c r="D801" s="53" t="s">
        <v>175</v>
      </c>
      <c r="E801" s="24"/>
      <c r="F801" s="57">
        <f>F802</f>
        <v>3720</v>
      </c>
    </row>
    <row r="802" spans="1:6" s="32" customFormat="1" x14ac:dyDescent="0.2">
      <c r="A802" s="80" t="s">
        <v>205</v>
      </c>
      <c r="B802" s="24" t="s">
        <v>232</v>
      </c>
      <c r="C802" s="24" t="s">
        <v>731</v>
      </c>
      <c r="D802" s="24" t="s">
        <v>206</v>
      </c>
      <c r="E802" s="24"/>
      <c r="F802" s="42">
        <f>F803+F807</f>
        <v>3720</v>
      </c>
    </row>
    <row r="803" spans="1:6" s="32" customFormat="1" ht="24" x14ac:dyDescent="0.2">
      <c r="A803" s="80" t="s">
        <v>501</v>
      </c>
      <c r="B803" s="24" t="s">
        <v>232</v>
      </c>
      <c r="C803" s="24" t="s">
        <v>731</v>
      </c>
      <c r="D803" s="24" t="s">
        <v>207</v>
      </c>
      <c r="E803" s="24"/>
      <c r="F803" s="42">
        <f>F804</f>
        <v>3635</v>
      </c>
    </row>
    <row r="804" spans="1:6" s="32" customFormat="1" x14ac:dyDescent="0.2">
      <c r="A804" s="81" t="s">
        <v>475</v>
      </c>
      <c r="B804" s="25" t="s">
        <v>232</v>
      </c>
      <c r="C804" s="25" t="s">
        <v>731</v>
      </c>
      <c r="D804" s="25" t="s">
        <v>207</v>
      </c>
      <c r="E804" s="25"/>
      <c r="F804" s="45">
        <f>F805</f>
        <v>3635</v>
      </c>
    </row>
    <row r="805" spans="1:6" s="32" customFormat="1" ht="24" x14ac:dyDescent="0.2">
      <c r="A805" s="84" t="s">
        <v>217</v>
      </c>
      <c r="B805" s="30" t="s">
        <v>232</v>
      </c>
      <c r="C805" s="30" t="s">
        <v>731</v>
      </c>
      <c r="D805" s="30" t="s">
        <v>207</v>
      </c>
      <c r="E805" s="30" t="s">
        <v>218</v>
      </c>
      <c r="F805" s="41">
        <f>F806</f>
        <v>3635</v>
      </c>
    </row>
    <row r="806" spans="1:6" s="32" customFormat="1" x14ac:dyDescent="0.2">
      <c r="A806" s="84" t="s">
        <v>219</v>
      </c>
      <c r="B806" s="30" t="s">
        <v>232</v>
      </c>
      <c r="C806" s="30" t="s">
        <v>731</v>
      </c>
      <c r="D806" s="30" t="s">
        <v>207</v>
      </c>
      <c r="E806" s="30" t="s">
        <v>224</v>
      </c>
      <c r="F806" s="41">
        <f>2740+70+825</f>
        <v>3635</v>
      </c>
    </row>
    <row r="807" spans="1:6" s="32" customFormat="1" x14ac:dyDescent="0.2">
      <c r="A807" s="80" t="s">
        <v>225</v>
      </c>
      <c r="B807" s="24" t="s">
        <v>232</v>
      </c>
      <c r="C807" s="24" t="s">
        <v>731</v>
      </c>
      <c r="D807" s="24" t="s">
        <v>208</v>
      </c>
      <c r="E807" s="24"/>
      <c r="F807" s="42">
        <f>F808+F810</f>
        <v>85</v>
      </c>
    </row>
    <row r="808" spans="1:6" s="32" customFormat="1" x14ac:dyDescent="0.2">
      <c r="A808" s="84" t="s">
        <v>473</v>
      </c>
      <c r="B808" s="30" t="s">
        <v>232</v>
      </c>
      <c r="C808" s="30" t="s">
        <v>731</v>
      </c>
      <c r="D808" s="30" t="s">
        <v>208</v>
      </c>
      <c r="E808" s="30" t="s">
        <v>226</v>
      </c>
      <c r="F808" s="41">
        <f>F809</f>
        <v>75</v>
      </c>
    </row>
    <row r="809" spans="1:6" s="32" customFormat="1" x14ac:dyDescent="0.2">
      <c r="A809" s="84" t="s">
        <v>227</v>
      </c>
      <c r="B809" s="30" t="s">
        <v>232</v>
      </c>
      <c r="C809" s="30" t="s">
        <v>731</v>
      </c>
      <c r="D809" s="30" t="s">
        <v>208</v>
      </c>
      <c r="E809" s="30" t="s">
        <v>228</v>
      </c>
      <c r="F809" s="41">
        <v>75</v>
      </c>
    </row>
    <row r="810" spans="1:6" s="32" customFormat="1" x14ac:dyDescent="0.2">
      <c r="A810" s="84" t="s">
        <v>229</v>
      </c>
      <c r="B810" s="30" t="s">
        <v>232</v>
      </c>
      <c r="C810" s="30" t="s">
        <v>731</v>
      </c>
      <c r="D810" s="30" t="s">
        <v>208</v>
      </c>
      <c r="E810" s="30" t="s">
        <v>230</v>
      </c>
      <c r="F810" s="41">
        <f>F811</f>
        <v>10</v>
      </c>
    </row>
    <row r="811" spans="1:6" s="32" customFormat="1" x14ac:dyDescent="0.2">
      <c r="A811" s="84" t="s">
        <v>106</v>
      </c>
      <c r="B811" s="30" t="s">
        <v>232</v>
      </c>
      <c r="C811" s="30" t="s">
        <v>731</v>
      </c>
      <c r="D811" s="30" t="s">
        <v>208</v>
      </c>
      <c r="E811" s="30" t="s">
        <v>231</v>
      </c>
      <c r="F811" s="41">
        <v>10</v>
      </c>
    </row>
    <row r="812" spans="1:6" s="32" customFormat="1" x14ac:dyDescent="0.2">
      <c r="A812" s="80" t="s">
        <v>692</v>
      </c>
      <c r="B812" s="24" t="s">
        <v>823</v>
      </c>
      <c r="C812" s="24" t="s">
        <v>215</v>
      </c>
      <c r="D812" s="24"/>
      <c r="E812" s="24"/>
      <c r="F812" s="42">
        <f>F813+F823</f>
        <v>10694</v>
      </c>
    </row>
    <row r="813" spans="1:6" s="32" customFormat="1" x14ac:dyDescent="0.2">
      <c r="A813" s="80" t="s">
        <v>679</v>
      </c>
      <c r="B813" s="24" t="s">
        <v>823</v>
      </c>
      <c r="C813" s="24" t="s">
        <v>214</v>
      </c>
      <c r="D813" s="24" t="s">
        <v>382</v>
      </c>
      <c r="E813" s="24"/>
      <c r="F813" s="42">
        <f>F814</f>
        <v>4414</v>
      </c>
    </row>
    <row r="814" spans="1:6" s="32" customFormat="1" x14ac:dyDescent="0.2">
      <c r="A814" s="80" t="s">
        <v>250</v>
      </c>
      <c r="B814" s="24" t="s">
        <v>823</v>
      </c>
      <c r="C814" s="24" t="s">
        <v>214</v>
      </c>
      <c r="D814" s="24" t="s">
        <v>383</v>
      </c>
      <c r="E814" s="24"/>
      <c r="F814" s="42">
        <f>F815</f>
        <v>4414</v>
      </c>
    </row>
    <row r="815" spans="1:6" s="32" customFormat="1" x14ac:dyDescent="0.2">
      <c r="A815" s="85" t="s">
        <v>819</v>
      </c>
      <c r="B815" s="33" t="s">
        <v>823</v>
      </c>
      <c r="C815" s="33" t="s">
        <v>214</v>
      </c>
      <c r="D815" s="33" t="s">
        <v>555</v>
      </c>
      <c r="E815" s="33"/>
      <c r="F815" s="101">
        <f>F816</f>
        <v>4414</v>
      </c>
    </row>
    <row r="816" spans="1:6" s="32" customFormat="1" x14ac:dyDescent="0.2">
      <c r="A816" s="80" t="s">
        <v>168</v>
      </c>
      <c r="B816" s="24" t="s">
        <v>823</v>
      </c>
      <c r="C816" s="24" t="s">
        <v>214</v>
      </c>
      <c r="D816" s="24" t="s">
        <v>555</v>
      </c>
      <c r="E816" s="24"/>
      <c r="F816" s="42">
        <f>F817+F819+F821</f>
        <v>4414</v>
      </c>
    </row>
    <row r="817" spans="1:6" s="32" customFormat="1" ht="24" x14ac:dyDescent="0.2">
      <c r="A817" s="84" t="s">
        <v>217</v>
      </c>
      <c r="B817" s="30" t="s">
        <v>823</v>
      </c>
      <c r="C817" s="30" t="s">
        <v>214</v>
      </c>
      <c r="D817" s="30" t="s">
        <v>555</v>
      </c>
      <c r="E817" s="30" t="s">
        <v>218</v>
      </c>
      <c r="F817" s="41">
        <f>F818</f>
        <v>3071</v>
      </c>
    </row>
    <row r="818" spans="1:6" s="32" customFormat="1" x14ac:dyDescent="0.2">
      <c r="A818" s="84" t="s">
        <v>820</v>
      </c>
      <c r="B818" s="30" t="s">
        <v>823</v>
      </c>
      <c r="C818" s="30" t="s">
        <v>214</v>
      </c>
      <c r="D818" s="30" t="s">
        <v>555</v>
      </c>
      <c r="E818" s="30" t="s">
        <v>821</v>
      </c>
      <c r="F818" s="41">
        <f>2271+114+686</f>
        <v>3071</v>
      </c>
    </row>
    <row r="819" spans="1:6" s="32" customFormat="1" x14ac:dyDescent="0.2">
      <c r="A819" s="84" t="s">
        <v>473</v>
      </c>
      <c r="B819" s="30" t="s">
        <v>823</v>
      </c>
      <c r="C819" s="30" t="s">
        <v>214</v>
      </c>
      <c r="D819" s="30" t="s">
        <v>555</v>
      </c>
      <c r="E819" s="30" t="s">
        <v>226</v>
      </c>
      <c r="F819" s="41">
        <f>F820</f>
        <v>1337</v>
      </c>
    </row>
    <row r="820" spans="1:6" s="32" customFormat="1" x14ac:dyDescent="0.2">
      <c r="A820" s="84" t="s">
        <v>227</v>
      </c>
      <c r="B820" s="30" t="s">
        <v>823</v>
      </c>
      <c r="C820" s="30" t="s">
        <v>214</v>
      </c>
      <c r="D820" s="30" t="s">
        <v>555</v>
      </c>
      <c r="E820" s="30" t="s">
        <v>228</v>
      </c>
      <c r="F820" s="41">
        <f>617+720</f>
        <v>1337</v>
      </c>
    </row>
    <row r="821" spans="1:6" s="32" customFormat="1" x14ac:dyDescent="0.2">
      <c r="A821" s="84" t="s">
        <v>229</v>
      </c>
      <c r="B821" s="30" t="s">
        <v>823</v>
      </c>
      <c r="C821" s="30" t="s">
        <v>214</v>
      </c>
      <c r="D821" s="30" t="s">
        <v>555</v>
      </c>
      <c r="E821" s="30" t="s">
        <v>230</v>
      </c>
      <c r="F821" s="41">
        <f>F822</f>
        <v>6</v>
      </c>
    </row>
    <row r="822" spans="1:6" s="32" customFormat="1" x14ac:dyDescent="0.2">
      <c r="A822" s="84" t="s">
        <v>311</v>
      </c>
      <c r="B822" s="30" t="s">
        <v>823</v>
      </c>
      <c r="C822" s="30" t="s">
        <v>214</v>
      </c>
      <c r="D822" s="30" t="s">
        <v>555</v>
      </c>
      <c r="E822" s="30" t="s">
        <v>231</v>
      </c>
      <c r="F822" s="41">
        <v>6</v>
      </c>
    </row>
    <row r="823" spans="1:6" s="32" customFormat="1" ht="15.75" x14ac:dyDescent="0.2">
      <c r="A823" s="80" t="s">
        <v>680</v>
      </c>
      <c r="B823" s="24" t="s">
        <v>823</v>
      </c>
      <c r="C823" s="24" t="s">
        <v>825</v>
      </c>
      <c r="D823" s="24" t="s">
        <v>382</v>
      </c>
      <c r="E823" s="47"/>
      <c r="F823" s="42">
        <f>F824</f>
        <v>6280</v>
      </c>
    </row>
    <row r="824" spans="1:6" s="32" customFormat="1" x14ac:dyDescent="0.2">
      <c r="A824" s="80" t="s">
        <v>250</v>
      </c>
      <c r="B824" s="24" t="s">
        <v>823</v>
      </c>
      <c r="C824" s="24" t="s">
        <v>825</v>
      </c>
      <c r="D824" s="24" t="s">
        <v>383</v>
      </c>
      <c r="E824" s="24"/>
      <c r="F824" s="42">
        <f>F825</f>
        <v>6280</v>
      </c>
    </row>
    <row r="825" spans="1:6" s="32" customFormat="1" ht="24" x14ac:dyDescent="0.2">
      <c r="A825" s="80" t="s">
        <v>171</v>
      </c>
      <c r="B825" s="24" t="s">
        <v>823</v>
      </c>
      <c r="C825" s="24" t="s">
        <v>825</v>
      </c>
      <c r="D825" s="24" t="s">
        <v>556</v>
      </c>
      <c r="E825" s="24"/>
      <c r="F825" s="42">
        <f>F826</f>
        <v>6280</v>
      </c>
    </row>
    <row r="826" spans="1:6" s="32" customFormat="1" x14ac:dyDescent="0.2">
      <c r="A826" s="84" t="s">
        <v>246</v>
      </c>
      <c r="B826" s="30" t="s">
        <v>823</v>
      </c>
      <c r="C826" s="30" t="s">
        <v>825</v>
      </c>
      <c r="D826" s="30" t="s">
        <v>556</v>
      </c>
      <c r="E826" s="30" t="s">
        <v>702</v>
      </c>
      <c r="F826" s="41">
        <f>F827</f>
        <v>6280</v>
      </c>
    </row>
    <row r="827" spans="1:6" s="32" customFormat="1" x14ac:dyDescent="0.2">
      <c r="A827" s="84" t="s">
        <v>247</v>
      </c>
      <c r="B827" s="30" t="s">
        <v>823</v>
      </c>
      <c r="C827" s="30" t="s">
        <v>825</v>
      </c>
      <c r="D827" s="30" t="s">
        <v>556</v>
      </c>
      <c r="E827" s="30" t="s">
        <v>724</v>
      </c>
      <c r="F827" s="41">
        <f>7000-720</f>
        <v>6280</v>
      </c>
    </row>
    <row r="828" spans="1:6" s="32" customFormat="1" x14ac:dyDescent="0.2">
      <c r="A828" s="80" t="s">
        <v>693</v>
      </c>
      <c r="B828" s="24" t="s">
        <v>235</v>
      </c>
      <c r="C828" s="24" t="s">
        <v>215</v>
      </c>
      <c r="D828" s="24"/>
      <c r="E828" s="24"/>
      <c r="F828" s="42">
        <f>F829</f>
        <v>106500</v>
      </c>
    </row>
    <row r="829" spans="1:6" s="32" customFormat="1" x14ac:dyDescent="0.2">
      <c r="A829" s="80" t="s">
        <v>476</v>
      </c>
      <c r="B829" s="24" t="s">
        <v>235</v>
      </c>
      <c r="C829" s="24" t="s">
        <v>214</v>
      </c>
      <c r="D829" s="43" t="s">
        <v>383</v>
      </c>
      <c r="E829" s="24"/>
      <c r="F829" s="42">
        <f>F830</f>
        <v>106500</v>
      </c>
    </row>
    <row r="830" spans="1:6" s="32" customFormat="1" ht="15.75" x14ac:dyDescent="0.2">
      <c r="A830" s="80" t="s">
        <v>727</v>
      </c>
      <c r="B830" s="24" t="s">
        <v>235</v>
      </c>
      <c r="C830" s="24" t="s">
        <v>214</v>
      </c>
      <c r="D830" s="24" t="s">
        <v>47</v>
      </c>
      <c r="E830" s="47"/>
      <c r="F830" s="42">
        <f>F831</f>
        <v>106500</v>
      </c>
    </row>
    <row r="831" spans="1:6" s="32" customFormat="1" x14ac:dyDescent="0.2">
      <c r="A831" s="85" t="s">
        <v>507</v>
      </c>
      <c r="B831" s="33" t="s">
        <v>235</v>
      </c>
      <c r="C831" s="33" t="s">
        <v>214</v>
      </c>
      <c r="D831" s="55" t="s">
        <v>47</v>
      </c>
      <c r="E831" s="33"/>
      <c r="F831" s="101">
        <f>F832</f>
        <v>106500</v>
      </c>
    </row>
    <row r="832" spans="1:6" s="32" customFormat="1" x14ac:dyDescent="0.2">
      <c r="A832" s="84" t="s">
        <v>477</v>
      </c>
      <c r="B832" s="30" t="s">
        <v>235</v>
      </c>
      <c r="C832" s="30" t="s">
        <v>214</v>
      </c>
      <c r="D832" s="30" t="s">
        <v>47</v>
      </c>
      <c r="E832" s="30" t="s">
        <v>478</v>
      </c>
      <c r="F832" s="41">
        <f>F833</f>
        <v>106500</v>
      </c>
    </row>
    <row r="833" spans="1:6" s="32" customFormat="1" x14ac:dyDescent="0.2">
      <c r="A833" s="84" t="s">
        <v>479</v>
      </c>
      <c r="B833" s="30" t="s">
        <v>235</v>
      </c>
      <c r="C833" s="30" t="s">
        <v>214</v>
      </c>
      <c r="D833" s="30" t="s">
        <v>47</v>
      </c>
      <c r="E833" s="30" t="s">
        <v>708</v>
      </c>
      <c r="F833" s="41">
        <f>122000-15000-500</f>
        <v>106500</v>
      </c>
    </row>
    <row r="834" spans="1:6" s="32" customFormat="1" hidden="1" x14ac:dyDescent="0.2">
      <c r="A834" s="119"/>
      <c r="B834" s="120"/>
      <c r="C834" s="120"/>
      <c r="D834" s="120"/>
      <c r="E834" s="120"/>
      <c r="F834" s="130"/>
    </row>
    <row r="835" spans="1:6" s="32" customFormat="1" hidden="1" x14ac:dyDescent="0.2">
      <c r="A835" s="56"/>
      <c r="B835" s="10"/>
      <c r="C835" s="10"/>
      <c r="D835" s="10"/>
      <c r="E835" s="10"/>
    </row>
    <row r="836" spans="1:6" ht="33" hidden="1" customHeight="1" x14ac:dyDescent="0.2">
      <c r="A836" s="243" t="s">
        <v>642</v>
      </c>
      <c r="B836" s="243"/>
      <c r="C836" s="10"/>
      <c r="D836" s="10"/>
      <c r="E836" s="10"/>
    </row>
    <row r="837" spans="1:6" x14ac:dyDescent="0.2">
      <c r="A837" s="56"/>
      <c r="B837" s="10"/>
      <c r="C837" s="10"/>
      <c r="D837" s="10"/>
      <c r="E837" s="10"/>
    </row>
    <row r="838" spans="1:6" ht="15" x14ac:dyDescent="0.25">
      <c r="A838" s="183"/>
      <c r="B838" s="10"/>
      <c r="C838" s="10"/>
      <c r="D838" s="10"/>
      <c r="E838" s="10"/>
    </row>
    <row r="839" spans="1:6" x14ac:dyDescent="0.2">
      <c r="A839" s="56"/>
      <c r="B839" s="10"/>
      <c r="C839" s="10"/>
      <c r="D839" s="10"/>
      <c r="E839" s="10"/>
    </row>
    <row r="840" spans="1:6" x14ac:dyDescent="0.2">
      <c r="A840" s="56"/>
      <c r="B840" s="10"/>
      <c r="C840" s="10"/>
      <c r="D840" s="10"/>
      <c r="E840" s="10"/>
    </row>
    <row r="841" spans="1:6" x14ac:dyDescent="0.2">
      <c r="A841" s="56"/>
      <c r="B841" s="10"/>
      <c r="C841" s="10"/>
      <c r="D841" s="10"/>
      <c r="E841" s="10"/>
    </row>
    <row r="842" spans="1:6" x14ac:dyDescent="0.2">
      <c r="A842" s="56"/>
      <c r="B842" s="10"/>
      <c r="C842" s="10"/>
      <c r="D842" s="10"/>
      <c r="E842" s="10"/>
    </row>
    <row r="843" spans="1:6" x14ac:dyDescent="0.2">
      <c r="A843" s="56"/>
      <c r="B843" s="10"/>
      <c r="C843" s="10"/>
      <c r="D843" s="10"/>
      <c r="E843" s="10"/>
    </row>
    <row r="844" spans="1:6" x14ac:dyDescent="0.2">
      <c r="A844" s="56"/>
      <c r="B844" s="10"/>
      <c r="C844" s="10"/>
      <c r="D844" s="10"/>
      <c r="E844" s="10"/>
    </row>
    <row r="845" spans="1:6" x14ac:dyDescent="0.2">
      <c r="A845" s="56"/>
      <c r="B845" s="10"/>
      <c r="C845" s="10"/>
      <c r="D845" s="10"/>
      <c r="E845" s="10"/>
    </row>
    <row r="846" spans="1:6" x14ac:dyDescent="0.2">
      <c r="A846" s="56"/>
      <c r="B846" s="10"/>
      <c r="C846" s="10"/>
      <c r="D846" s="10"/>
      <c r="E846" s="10"/>
    </row>
    <row r="847" spans="1:6" x14ac:dyDescent="0.2">
      <c r="A847" s="56"/>
      <c r="B847" s="10"/>
      <c r="C847" s="10"/>
      <c r="D847" s="10"/>
      <c r="E847" s="10"/>
    </row>
    <row r="848" spans="1:6" x14ac:dyDescent="0.2">
      <c r="A848" s="56"/>
      <c r="B848" s="10"/>
      <c r="C848" s="10"/>
      <c r="D848" s="10"/>
      <c r="E848" s="10"/>
    </row>
    <row r="849" spans="1:5" x14ac:dyDescent="0.2">
      <c r="A849" s="56"/>
      <c r="B849" s="10"/>
      <c r="C849" s="10"/>
      <c r="D849" s="10"/>
      <c r="E849" s="10"/>
    </row>
    <row r="850" spans="1:5" x14ac:dyDescent="0.2">
      <c r="A850" s="56"/>
      <c r="B850" s="10"/>
      <c r="C850" s="10"/>
      <c r="D850" s="10"/>
      <c r="E850" s="10"/>
    </row>
    <row r="851" spans="1:5" x14ac:dyDescent="0.2">
      <c r="A851" s="56"/>
      <c r="B851" s="10"/>
      <c r="C851" s="10"/>
      <c r="D851" s="10"/>
      <c r="E851" s="10"/>
    </row>
    <row r="852" spans="1:5" x14ac:dyDescent="0.2">
      <c r="A852" s="56"/>
      <c r="B852" s="10"/>
      <c r="C852" s="10"/>
      <c r="D852" s="10"/>
      <c r="E852" s="10"/>
    </row>
    <row r="853" spans="1:5" x14ac:dyDescent="0.2">
      <c r="A853" s="56"/>
      <c r="B853" s="10"/>
      <c r="C853" s="10"/>
      <c r="D853" s="10"/>
      <c r="E853" s="10"/>
    </row>
    <row r="854" spans="1:5" x14ac:dyDescent="0.2">
      <c r="A854" s="56"/>
      <c r="B854" s="10"/>
      <c r="C854" s="10"/>
      <c r="D854" s="10"/>
      <c r="E854" s="10"/>
    </row>
    <row r="855" spans="1:5" x14ac:dyDescent="0.2">
      <c r="A855" s="56"/>
      <c r="B855" s="10"/>
      <c r="C855" s="10"/>
      <c r="D855" s="10"/>
      <c r="E855" s="10"/>
    </row>
    <row r="856" spans="1:5" x14ac:dyDescent="0.2">
      <c r="A856" s="56"/>
      <c r="B856" s="10"/>
      <c r="C856" s="10"/>
      <c r="D856" s="10"/>
      <c r="E856" s="10"/>
    </row>
    <row r="857" spans="1:5" x14ac:dyDescent="0.2">
      <c r="A857" s="56"/>
      <c r="B857" s="10"/>
      <c r="C857" s="10"/>
      <c r="D857" s="10"/>
      <c r="E857" s="10"/>
    </row>
    <row r="858" spans="1:5" x14ac:dyDescent="0.2">
      <c r="A858" s="56"/>
      <c r="B858" s="10"/>
      <c r="C858" s="10"/>
      <c r="D858" s="10"/>
      <c r="E858" s="10"/>
    </row>
    <row r="859" spans="1:5" x14ac:dyDescent="0.2">
      <c r="A859" s="56"/>
      <c r="B859" s="10"/>
      <c r="C859" s="10"/>
      <c r="D859" s="10"/>
      <c r="E859" s="10"/>
    </row>
    <row r="860" spans="1:5" x14ac:dyDescent="0.2">
      <c r="A860" s="56"/>
      <c r="B860" s="10"/>
      <c r="C860" s="10"/>
      <c r="D860" s="10"/>
      <c r="E860" s="10"/>
    </row>
    <row r="861" spans="1:5" x14ac:dyDescent="0.2">
      <c r="A861" s="56"/>
      <c r="B861" s="10"/>
      <c r="C861" s="10"/>
      <c r="D861" s="10"/>
      <c r="E861" s="10"/>
    </row>
    <row r="862" spans="1:5" x14ac:dyDescent="0.2">
      <c r="A862" s="56"/>
      <c r="B862" s="10"/>
      <c r="C862" s="10"/>
      <c r="D862" s="10"/>
      <c r="E862" s="10"/>
    </row>
    <row r="863" spans="1:5" x14ac:dyDescent="0.2">
      <c r="A863" s="56"/>
      <c r="B863" s="10"/>
      <c r="C863" s="10"/>
      <c r="D863" s="10"/>
      <c r="E863" s="10"/>
    </row>
    <row r="864" spans="1:5" x14ac:dyDescent="0.2">
      <c r="A864" s="56"/>
      <c r="B864" s="10"/>
      <c r="C864" s="10"/>
      <c r="D864" s="10"/>
      <c r="E864" s="10"/>
    </row>
    <row r="865" spans="1:5" x14ac:dyDescent="0.2">
      <c r="A865" s="56"/>
      <c r="B865" s="10"/>
      <c r="C865" s="10"/>
      <c r="D865" s="10"/>
      <c r="E865" s="10"/>
    </row>
    <row r="866" spans="1:5" x14ac:dyDescent="0.2">
      <c r="A866" s="56"/>
      <c r="B866" s="10"/>
      <c r="C866" s="10"/>
      <c r="D866" s="10"/>
      <c r="E866" s="10"/>
    </row>
    <row r="867" spans="1:5" x14ac:dyDescent="0.2">
      <c r="A867" s="56"/>
      <c r="B867" s="10"/>
      <c r="C867" s="10"/>
      <c r="D867" s="10"/>
      <c r="E867" s="10"/>
    </row>
    <row r="868" spans="1:5" x14ac:dyDescent="0.2">
      <c r="A868" s="56"/>
      <c r="B868" s="10"/>
      <c r="C868" s="10"/>
      <c r="D868" s="10"/>
      <c r="E868" s="10"/>
    </row>
    <row r="869" spans="1:5" x14ac:dyDescent="0.2">
      <c r="A869" s="56"/>
      <c r="B869" s="10"/>
      <c r="C869" s="10"/>
      <c r="D869" s="10"/>
      <c r="E869" s="10"/>
    </row>
    <row r="870" spans="1:5" x14ac:dyDescent="0.2">
      <c r="A870" s="56"/>
      <c r="B870" s="10"/>
      <c r="C870" s="10"/>
      <c r="D870" s="10"/>
      <c r="E870" s="10"/>
    </row>
    <row r="871" spans="1:5" x14ac:dyDescent="0.2">
      <c r="A871" s="56"/>
      <c r="B871" s="10"/>
      <c r="C871" s="10"/>
      <c r="D871" s="10"/>
      <c r="E871" s="10"/>
    </row>
    <row r="872" spans="1:5" x14ac:dyDescent="0.2">
      <c r="A872" s="56"/>
      <c r="B872" s="10"/>
      <c r="C872" s="10"/>
      <c r="D872" s="10"/>
      <c r="E872" s="10"/>
    </row>
    <row r="873" spans="1:5" x14ac:dyDescent="0.2">
      <c r="A873" s="56"/>
      <c r="B873" s="10"/>
      <c r="C873" s="10"/>
      <c r="D873" s="10"/>
      <c r="E873" s="10"/>
    </row>
    <row r="874" spans="1:5" x14ac:dyDescent="0.2">
      <c r="A874" s="56"/>
      <c r="B874" s="10"/>
      <c r="C874" s="10"/>
      <c r="D874" s="10"/>
      <c r="E874" s="10"/>
    </row>
    <row r="875" spans="1:5" x14ac:dyDescent="0.2">
      <c r="A875" s="56"/>
      <c r="B875" s="10"/>
      <c r="C875" s="10"/>
      <c r="D875" s="10"/>
      <c r="E875" s="10"/>
    </row>
    <row r="876" spans="1:5" x14ac:dyDescent="0.2">
      <c r="A876" s="56"/>
      <c r="B876" s="10"/>
      <c r="C876" s="10"/>
      <c r="D876" s="10"/>
      <c r="E876" s="10"/>
    </row>
    <row r="877" spans="1:5" x14ac:dyDescent="0.2">
      <c r="A877" s="56"/>
      <c r="B877" s="10"/>
      <c r="C877" s="10"/>
      <c r="D877" s="10"/>
      <c r="E877" s="10"/>
    </row>
    <row r="878" spans="1:5" x14ac:dyDescent="0.2">
      <c r="A878" s="56"/>
      <c r="B878" s="10"/>
      <c r="C878" s="10"/>
      <c r="D878" s="10"/>
      <c r="E878" s="10"/>
    </row>
    <row r="879" spans="1:5" x14ac:dyDescent="0.2">
      <c r="A879" s="56"/>
      <c r="B879" s="10"/>
      <c r="C879" s="10"/>
      <c r="D879" s="10"/>
      <c r="E879" s="10"/>
    </row>
    <row r="880" spans="1:5" x14ac:dyDescent="0.2">
      <c r="A880" s="56"/>
      <c r="B880" s="10"/>
      <c r="C880" s="10"/>
      <c r="D880" s="10"/>
      <c r="E880" s="10"/>
    </row>
    <row r="881" spans="1:5" x14ac:dyDescent="0.2">
      <c r="A881" s="56"/>
      <c r="B881" s="10"/>
      <c r="C881" s="10"/>
      <c r="D881" s="10"/>
      <c r="E881" s="10"/>
    </row>
    <row r="882" spans="1:5" x14ac:dyDescent="0.2">
      <c r="A882" s="56"/>
      <c r="B882" s="10"/>
      <c r="C882" s="10"/>
      <c r="D882" s="10"/>
      <c r="E882" s="10"/>
    </row>
    <row r="883" spans="1:5" x14ac:dyDescent="0.2">
      <c r="A883" s="56"/>
      <c r="B883" s="10"/>
      <c r="C883" s="10"/>
      <c r="D883" s="10"/>
      <c r="E883" s="10"/>
    </row>
    <row r="884" spans="1:5" x14ac:dyDescent="0.2">
      <c r="A884" s="56"/>
      <c r="B884" s="10"/>
      <c r="C884" s="10"/>
      <c r="D884" s="10"/>
      <c r="E884" s="10"/>
    </row>
    <row r="885" spans="1:5" x14ac:dyDescent="0.2">
      <c r="A885" s="56"/>
      <c r="B885" s="10"/>
      <c r="C885" s="10"/>
      <c r="D885" s="10"/>
      <c r="E885" s="10"/>
    </row>
    <row r="886" spans="1:5" x14ac:dyDescent="0.2">
      <c r="A886" s="56"/>
      <c r="B886" s="10"/>
      <c r="C886" s="10"/>
      <c r="D886" s="10"/>
      <c r="E886" s="10"/>
    </row>
    <row r="887" spans="1:5" x14ac:dyDescent="0.2">
      <c r="A887" s="56"/>
      <c r="B887" s="10"/>
      <c r="C887" s="10"/>
      <c r="D887" s="10"/>
      <c r="E887" s="10"/>
    </row>
    <row r="888" spans="1:5" x14ac:dyDescent="0.2">
      <c r="A888" s="56"/>
      <c r="B888" s="10"/>
      <c r="C888" s="10"/>
      <c r="D888" s="10"/>
      <c r="E888" s="10"/>
    </row>
    <row r="889" spans="1:5" x14ac:dyDescent="0.2">
      <c r="A889" s="56"/>
      <c r="B889" s="10"/>
      <c r="C889" s="10"/>
      <c r="D889" s="10"/>
      <c r="E889" s="10"/>
    </row>
    <row r="890" spans="1:5" x14ac:dyDescent="0.2">
      <c r="A890" s="56"/>
      <c r="B890" s="10"/>
      <c r="C890" s="10"/>
      <c r="D890" s="10"/>
      <c r="E890" s="10"/>
    </row>
    <row r="891" spans="1:5" x14ac:dyDescent="0.2">
      <c r="A891" s="56"/>
      <c r="B891" s="10"/>
      <c r="C891" s="10"/>
      <c r="D891" s="10"/>
      <c r="E891" s="10"/>
    </row>
    <row r="892" spans="1:5" x14ac:dyDescent="0.2">
      <c r="A892" s="56"/>
      <c r="B892" s="10"/>
      <c r="C892" s="10"/>
      <c r="D892" s="10"/>
      <c r="E892" s="10"/>
    </row>
    <row r="893" spans="1:5" x14ac:dyDescent="0.2">
      <c r="A893" s="56"/>
      <c r="B893" s="10"/>
      <c r="C893" s="10"/>
      <c r="D893" s="10"/>
      <c r="E893" s="10"/>
    </row>
    <row r="894" spans="1:5" x14ac:dyDescent="0.2">
      <c r="A894" s="56"/>
      <c r="B894" s="10"/>
      <c r="C894" s="10"/>
      <c r="D894" s="10"/>
      <c r="E894" s="10"/>
    </row>
    <row r="895" spans="1:5" x14ac:dyDescent="0.2">
      <c r="A895" s="56"/>
      <c r="B895" s="10"/>
      <c r="C895" s="10"/>
      <c r="D895" s="10"/>
      <c r="E895" s="10"/>
    </row>
    <row r="896" spans="1:5" x14ac:dyDescent="0.2">
      <c r="A896" s="56"/>
      <c r="B896" s="10"/>
      <c r="C896" s="10"/>
      <c r="D896" s="10"/>
      <c r="E896" s="10"/>
    </row>
    <row r="897" spans="1:5" x14ac:dyDescent="0.2">
      <c r="A897" s="56"/>
      <c r="B897" s="10"/>
      <c r="C897" s="10"/>
      <c r="D897" s="10"/>
      <c r="E897" s="10"/>
    </row>
    <row r="898" spans="1:5" x14ac:dyDescent="0.2">
      <c r="A898" s="56"/>
      <c r="B898" s="10"/>
      <c r="C898" s="10"/>
      <c r="D898" s="10"/>
      <c r="E898" s="10"/>
    </row>
    <row r="899" spans="1:5" x14ac:dyDescent="0.2">
      <c r="A899" s="56"/>
      <c r="B899" s="10"/>
      <c r="C899" s="10"/>
      <c r="D899" s="10"/>
      <c r="E899" s="10"/>
    </row>
    <row r="900" spans="1:5" x14ac:dyDescent="0.2">
      <c r="A900" s="56"/>
      <c r="B900" s="10"/>
      <c r="C900" s="10"/>
      <c r="D900" s="10"/>
      <c r="E900" s="10"/>
    </row>
    <row r="901" spans="1:5" x14ac:dyDescent="0.2">
      <c r="A901" s="56"/>
      <c r="B901" s="10"/>
      <c r="C901" s="10"/>
      <c r="D901" s="10"/>
      <c r="E901" s="10"/>
    </row>
    <row r="902" spans="1:5" x14ac:dyDescent="0.2">
      <c r="A902" s="56"/>
      <c r="B902" s="10"/>
      <c r="C902" s="10"/>
      <c r="D902" s="10"/>
      <c r="E902" s="10"/>
    </row>
    <row r="903" spans="1:5" x14ac:dyDescent="0.2">
      <c r="A903" s="56"/>
      <c r="B903" s="10"/>
      <c r="C903" s="10"/>
      <c r="D903" s="10"/>
      <c r="E903" s="10"/>
    </row>
    <row r="904" spans="1:5" x14ac:dyDescent="0.2">
      <c r="A904" s="56"/>
      <c r="B904" s="10"/>
      <c r="C904" s="10"/>
      <c r="D904" s="10"/>
      <c r="E904" s="10"/>
    </row>
    <row r="905" spans="1:5" x14ac:dyDescent="0.2">
      <c r="A905" s="56"/>
      <c r="B905" s="10"/>
      <c r="C905" s="10"/>
      <c r="D905" s="10"/>
      <c r="E905" s="10"/>
    </row>
    <row r="906" spans="1:5" x14ac:dyDescent="0.2">
      <c r="A906" s="56"/>
      <c r="B906" s="10"/>
      <c r="C906" s="10"/>
      <c r="D906" s="10"/>
      <c r="E906" s="10"/>
    </row>
    <row r="907" spans="1:5" x14ac:dyDescent="0.2">
      <c r="A907" s="56"/>
      <c r="B907" s="10"/>
      <c r="C907" s="10"/>
      <c r="D907" s="10"/>
      <c r="E907" s="10"/>
    </row>
    <row r="908" spans="1:5" x14ac:dyDescent="0.2">
      <c r="A908" s="56"/>
      <c r="B908" s="10"/>
      <c r="C908" s="10"/>
      <c r="D908" s="10"/>
      <c r="E908" s="10"/>
    </row>
    <row r="909" spans="1:5" x14ac:dyDescent="0.2">
      <c r="A909" s="56"/>
      <c r="B909" s="10"/>
      <c r="C909" s="10"/>
      <c r="D909" s="10"/>
      <c r="E909" s="10"/>
    </row>
    <row r="910" spans="1:5" x14ac:dyDescent="0.2">
      <c r="A910" s="56"/>
      <c r="B910" s="10"/>
      <c r="C910" s="10"/>
      <c r="D910" s="10"/>
      <c r="E910" s="10"/>
    </row>
    <row r="911" spans="1:5" x14ac:dyDescent="0.2">
      <c r="A911" s="56"/>
      <c r="B911" s="10"/>
      <c r="C911" s="10"/>
      <c r="D911" s="10"/>
      <c r="E911" s="10"/>
    </row>
    <row r="912" spans="1:5" x14ac:dyDescent="0.2">
      <c r="A912" s="56"/>
      <c r="B912" s="10"/>
      <c r="C912" s="10"/>
      <c r="D912" s="10"/>
      <c r="E912" s="10"/>
    </row>
    <row r="913" spans="1:5" x14ac:dyDescent="0.2">
      <c r="A913" s="56"/>
      <c r="B913" s="10"/>
      <c r="C913" s="10"/>
      <c r="D913" s="10"/>
      <c r="E913" s="10"/>
    </row>
    <row r="914" spans="1:5" x14ac:dyDescent="0.2">
      <c r="A914" s="56"/>
      <c r="B914" s="10"/>
      <c r="C914" s="10"/>
      <c r="D914" s="10"/>
      <c r="E914" s="10"/>
    </row>
    <row r="915" spans="1:5" x14ac:dyDescent="0.2">
      <c r="A915" s="56"/>
      <c r="B915" s="10"/>
      <c r="C915" s="10"/>
      <c r="D915" s="10"/>
      <c r="E915" s="10"/>
    </row>
    <row r="916" spans="1:5" x14ac:dyDescent="0.2">
      <c r="A916" s="56"/>
      <c r="B916" s="10"/>
      <c r="C916" s="10"/>
      <c r="D916" s="10"/>
      <c r="E916" s="10"/>
    </row>
    <row r="917" spans="1:5" x14ac:dyDescent="0.2">
      <c r="A917" s="56"/>
      <c r="B917" s="10"/>
      <c r="C917" s="10"/>
      <c r="D917" s="10"/>
      <c r="E917" s="10"/>
    </row>
    <row r="918" spans="1:5" x14ac:dyDescent="0.2">
      <c r="A918" s="56"/>
      <c r="B918" s="10"/>
      <c r="C918" s="10"/>
      <c r="D918" s="10"/>
      <c r="E918" s="10"/>
    </row>
    <row r="919" spans="1:5" x14ac:dyDescent="0.2">
      <c r="A919" s="56"/>
      <c r="B919" s="10"/>
      <c r="C919" s="10"/>
      <c r="D919" s="10"/>
      <c r="E919" s="10"/>
    </row>
    <row r="920" spans="1:5" x14ac:dyDescent="0.2">
      <c r="A920" s="56"/>
      <c r="B920" s="10"/>
      <c r="C920" s="10"/>
      <c r="D920" s="10"/>
      <c r="E920" s="10"/>
    </row>
    <row r="921" spans="1:5" x14ac:dyDescent="0.2">
      <c r="A921" s="56"/>
      <c r="B921" s="10"/>
      <c r="C921" s="10"/>
      <c r="D921" s="10"/>
      <c r="E921" s="10"/>
    </row>
    <row r="922" spans="1:5" x14ac:dyDescent="0.2">
      <c r="A922" s="56"/>
      <c r="B922" s="10"/>
      <c r="C922" s="10"/>
      <c r="D922" s="10"/>
      <c r="E922" s="10"/>
    </row>
    <row r="923" spans="1:5" x14ac:dyDescent="0.2">
      <c r="A923" s="56"/>
      <c r="B923" s="10"/>
      <c r="C923" s="10"/>
      <c r="D923" s="10"/>
      <c r="E923" s="10"/>
    </row>
    <row r="924" spans="1:5" x14ac:dyDescent="0.2">
      <c r="A924" s="56"/>
      <c r="B924" s="10"/>
      <c r="C924" s="10"/>
      <c r="D924" s="10"/>
      <c r="E924" s="10"/>
    </row>
    <row r="925" spans="1:5" x14ac:dyDescent="0.2">
      <c r="A925" s="56"/>
      <c r="B925" s="10"/>
      <c r="C925" s="10"/>
      <c r="D925" s="10"/>
      <c r="E925" s="10"/>
    </row>
    <row r="926" spans="1:5" x14ac:dyDescent="0.2">
      <c r="A926" s="56"/>
      <c r="B926" s="10"/>
      <c r="C926" s="10"/>
      <c r="D926" s="10"/>
      <c r="E926" s="10"/>
    </row>
    <row r="927" spans="1:5" x14ac:dyDescent="0.2">
      <c r="A927" s="56"/>
      <c r="B927" s="10"/>
      <c r="C927" s="10"/>
      <c r="D927" s="10"/>
      <c r="E927" s="10"/>
    </row>
    <row r="928" spans="1:5" x14ac:dyDescent="0.2">
      <c r="A928" s="56"/>
      <c r="B928" s="10"/>
      <c r="C928" s="10"/>
      <c r="D928" s="10"/>
      <c r="E928" s="10"/>
    </row>
    <row r="929" spans="1:5" x14ac:dyDescent="0.2">
      <c r="A929" s="56"/>
      <c r="B929" s="10"/>
      <c r="C929" s="10"/>
      <c r="D929" s="10"/>
      <c r="E929" s="10"/>
    </row>
    <row r="930" spans="1:5" x14ac:dyDescent="0.2">
      <c r="A930" s="56"/>
      <c r="B930" s="10"/>
      <c r="C930" s="10"/>
      <c r="D930" s="10"/>
      <c r="E930" s="10"/>
    </row>
    <row r="931" spans="1:5" x14ac:dyDescent="0.2">
      <c r="A931" s="56"/>
      <c r="B931" s="10"/>
      <c r="C931" s="10"/>
      <c r="D931" s="10"/>
      <c r="E931" s="10"/>
    </row>
    <row r="932" spans="1:5" x14ac:dyDescent="0.2">
      <c r="A932" s="56"/>
      <c r="B932" s="10"/>
      <c r="C932" s="10"/>
      <c r="D932" s="10"/>
      <c r="E932" s="10"/>
    </row>
    <row r="933" spans="1:5" x14ac:dyDescent="0.2">
      <c r="A933" s="56"/>
      <c r="B933" s="10"/>
      <c r="C933" s="10"/>
      <c r="D933" s="10"/>
      <c r="E933" s="10"/>
    </row>
    <row r="934" spans="1:5" x14ac:dyDescent="0.2">
      <c r="A934" s="56"/>
      <c r="B934" s="10"/>
      <c r="C934" s="10"/>
      <c r="D934" s="10"/>
      <c r="E934" s="10"/>
    </row>
    <row r="935" spans="1:5" x14ac:dyDescent="0.2">
      <c r="A935" s="56"/>
      <c r="B935" s="10"/>
      <c r="C935" s="10"/>
      <c r="D935" s="10"/>
      <c r="E935" s="10"/>
    </row>
    <row r="936" spans="1:5" x14ac:dyDescent="0.2">
      <c r="A936" s="56"/>
      <c r="B936" s="10"/>
      <c r="C936" s="10"/>
      <c r="D936" s="10"/>
      <c r="E936" s="10"/>
    </row>
    <row r="937" spans="1:5" x14ac:dyDescent="0.2">
      <c r="A937" s="56"/>
      <c r="B937" s="10"/>
      <c r="C937" s="10"/>
      <c r="D937" s="10"/>
      <c r="E937" s="10"/>
    </row>
    <row r="938" spans="1:5" x14ac:dyDescent="0.2">
      <c r="A938" s="56"/>
      <c r="B938" s="10"/>
      <c r="C938" s="10"/>
      <c r="D938" s="10"/>
      <c r="E938" s="10"/>
    </row>
    <row r="939" spans="1:5" x14ac:dyDescent="0.2">
      <c r="A939" s="56"/>
      <c r="B939" s="10"/>
      <c r="C939" s="10"/>
      <c r="D939" s="10"/>
      <c r="E939" s="10"/>
    </row>
    <row r="940" spans="1:5" x14ac:dyDescent="0.2">
      <c r="A940" s="56"/>
      <c r="B940" s="10"/>
      <c r="C940" s="10"/>
      <c r="D940" s="10"/>
      <c r="E940" s="10"/>
    </row>
    <row r="941" spans="1:5" x14ac:dyDescent="0.2">
      <c r="A941" s="56"/>
      <c r="B941" s="10"/>
      <c r="C941" s="10"/>
      <c r="D941" s="10"/>
      <c r="E941" s="10"/>
    </row>
    <row r="942" spans="1:5" x14ac:dyDescent="0.2">
      <c r="A942" s="56"/>
      <c r="B942" s="10"/>
      <c r="C942" s="10"/>
      <c r="D942" s="10"/>
      <c r="E942" s="10"/>
    </row>
    <row r="943" spans="1:5" x14ac:dyDescent="0.2">
      <c r="A943" s="56"/>
      <c r="B943" s="10"/>
      <c r="C943" s="10"/>
      <c r="D943" s="10"/>
      <c r="E943" s="10"/>
    </row>
    <row r="944" spans="1:5" x14ac:dyDescent="0.2">
      <c r="A944" s="56"/>
      <c r="B944" s="10"/>
      <c r="C944" s="10"/>
      <c r="D944" s="10"/>
      <c r="E944" s="10"/>
    </row>
    <row r="945" spans="1:5" x14ac:dyDescent="0.2">
      <c r="A945" s="56"/>
      <c r="B945" s="10"/>
      <c r="C945" s="10"/>
      <c r="D945" s="10"/>
      <c r="E945" s="10"/>
    </row>
    <row r="946" spans="1:5" x14ac:dyDescent="0.2">
      <c r="A946" s="56"/>
      <c r="B946" s="10"/>
      <c r="C946" s="10"/>
      <c r="D946" s="10"/>
      <c r="E946" s="10"/>
    </row>
    <row r="947" spans="1:5" x14ac:dyDescent="0.2">
      <c r="A947" s="56"/>
      <c r="B947" s="10"/>
      <c r="C947" s="10"/>
      <c r="D947" s="10"/>
      <c r="E947" s="10"/>
    </row>
    <row r="948" spans="1:5" x14ac:dyDescent="0.2">
      <c r="A948" s="56"/>
      <c r="B948" s="10"/>
      <c r="C948" s="10"/>
      <c r="D948" s="10"/>
      <c r="E948" s="10"/>
    </row>
    <row r="949" spans="1:5" x14ac:dyDescent="0.2">
      <c r="A949" s="56"/>
      <c r="B949" s="10"/>
      <c r="C949" s="10"/>
      <c r="D949" s="10"/>
      <c r="E949" s="10"/>
    </row>
    <row r="950" spans="1:5" x14ac:dyDescent="0.2">
      <c r="A950" s="56"/>
      <c r="B950" s="10"/>
      <c r="C950" s="10"/>
      <c r="D950" s="10"/>
      <c r="E950" s="10"/>
    </row>
    <row r="951" spans="1:5" x14ac:dyDescent="0.2">
      <c r="A951" s="56"/>
      <c r="B951" s="10"/>
      <c r="C951" s="10"/>
      <c r="D951" s="10"/>
      <c r="E951" s="10"/>
    </row>
    <row r="952" spans="1:5" x14ac:dyDescent="0.2">
      <c r="A952" s="56"/>
      <c r="B952" s="10"/>
      <c r="C952" s="10"/>
      <c r="D952" s="10"/>
      <c r="E952" s="10"/>
    </row>
    <row r="953" spans="1:5" x14ac:dyDescent="0.2">
      <c r="A953" s="56"/>
      <c r="B953" s="10"/>
      <c r="C953" s="10"/>
      <c r="D953" s="10"/>
      <c r="E953" s="10"/>
    </row>
    <row r="954" spans="1:5" x14ac:dyDescent="0.2">
      <c r="A954" s="56"/>
      <c r="B954" s="10"/>
      <c r="C954" s="10"/>
      <c r="D954" s="10"/>
      <c r="E954" s="10"/>
    </row>
    <row r="955" spans="1:5" x14ac:dyDescent="0.2">
      <c r="A955" s="56"/>
      <c r="B955" s="10"/>
      <c r="C955" s="10"/>
      <c r="D955" s="10"/>
      <c r="E955" s="10"/>
    </row>
    <row r="956" spans="1:5" x14ac:dyDescent="0.2">
      <c r="A956" s="56"/>
      <c r="B956" s="10"/>
      <c r="C956" s="10"/>
      <c r="D956" s="10"/>
      <c r="E956" s="10"/>
    </row>
    <row r="957" spans="1:5" x14ac:dyDescent="0.2">
      <c r="A957" s="56"/>
      <c r="B957" s="10"/>
      <c r="C957" s="10"/>
      <c r="D957" s="10"/>
      <c r="E957" s="10"/>
    </row>
    <row r="958" spans="1:5" x14ac:dyDescent="0.2">
      <c r="A958" s="56"/>
      <c r="B958" s="10"/>
      <c r="C958" s="10"/>
      <c r="D958" s="10"/>
      <c r="E958" s="10"/>
    </row>
    <row r="959" spans="1:5" x14ac:dyDescent="0.2">
      <c r="A959" s="56"/>
      <c r="B959" s="10"/>
      <c r="C959" s="10"/>
      <c r="D959" s="10"/>
      <c r="E959" s="10"/>
    </row>
    <row r="960" spans="1:5" x14ac:dyDescent="0.2">
      <c r="A960" s="56"/>
      <c r="B960" s="10"/>
      <c r="C960" s="10"/>
      <c r="D960" s="10"/>
      <c r="E960" s="10"/>
    </row>
    <row r="961" spans="1:5" x14ac:dyDescent="0.2">
      <c r="A961" s="56"/>
      <c r="B961" s="10"/>
      <c r="C961" s="10"/>
      <c r="D961" s="10"/>
      <c r="E961" s="10"/>
    </row>
    <row r="962" spans="1:5" x14ac:dyDescent="0.2">
      <c r="A962" s="56"/>
      <c r="B962" s="10"/>
      <c r="C962" s="10"/>
      <c r="D962" s="10"/>
      <c r="E962" s="10"/>
    </row>
    <row r="963" spans="1:5" x14ac:dyDescent="0.2">
      <c r="A963" s="56"/>
      <c r="B963" s="10"/>
      <c r="C963" s="10"/>
      <c r="D963" s="10"/>
      <c r="E963" s="10"/>
    </row>
    <row r="964" spans="1:5" x14ac:dyDescent="0.2">
      <c r="A964" s="56"/>
      <c r="B964" s="10"/>
      <c r="C964" s="10"/>
      <c r="D964" s="10"/>
      <c r="E964" s="10"/>
    </row>
    <row r="965" spans="1:5" x14ac:dyDescent="0.2">
      <c r="A965" s="56"/>
      <c r="B965" s="10"/>
      <c r="C965" s="10"/>
      <c r="D965" s="10"/>
      <c r="E965" s="10"/>
    </row>
    <row r="966" spans="1:5" x14ac:dyDescent="0.2">
      <c r="A966" s="56"/>
      <c r="B966" s="10"/>
      <c r="C966" s="10"/>
      <c r="D966" s="10"/>
      <c r="E966" s="10"/>
    </row>
    <row r="967" spans="1:5" x14ac:dyDescent="0.2">
      <c r="A967" s="56"/>
      <c r="B967" s="10"/>
      <c r="C967" s="10"/>
      <c r="D967" s="10"/>
      <c r="E967" s="10"/>
    </row>
    <row r="968" spans="1:5" x14ac:dyDescent="0.2">
      <c r="A968" s="56"/>
      <c r="B968" s="10"/>
      <c r="C968" s="10"/>
      <c r="D968" s="10"/>
      <c r="E968" s="10"/>
    </row>
    <row r="969" spans="1:5" x14ac:dyDescent="0.2">
      <c r="A969" s="56"/>
      <c r="B969" s="10"/>
      <c r="C969" s="10"/>
      <c r="D969" s="10"/>
      <c r="E969" s="10"/>
    </row>
    <row r="970" spans="1:5" x14ac:dyDescent="0.2">
      <c r="A970" s="56"/>
      <c r="B970" s="10"/>
      <c r="C970" s="10"/>
      <c r="D970" s="10"/>
      <c r="E970" s="10"/>
    </row>
    <row r="971" spans="1:5" x14ac:dyDescent="0.2">
      <c r="A971" s="56"/>
      <c r="B971" s="10"/>
      <c r="C971" s="10"/>
      <c r="D971" s="10"/>
      <c r="E971" s="10"/>
    </row>
    <row r="972" spans="1:5" x14ac:dyDescent="0.2">
      <c r="A972" s="56"/>
      <c r="B972" s="10"/>
      <c r="C972" s="10"/>
      <c r="D972" s="10"/>
      <c r="E972" s="10"/>
    </row>
    <row r="973" spans="1:5" x14ac:dyDescent="0.2">
      <c r="A973" s="56"/>
      <c r="B973" s="10"/>
      <c r="C973" s="10"/>
      <c r="D973" s="10"/>
      <c r="E973" s="10"/>
    </row>
    <row r="974" spans="1:5" x14ac:dyDescent="0.2">
      <c r="A974" s="56"/>
      <c r="B974" s="10"/>
      <c r="C974" s="10"/>
      <c r="D974" s="10"/>
      <c r="E974" s="10"/>
    </row>
    <row r="975" spans="1:5" x14ac:dyDescent="0.2">
      <c r="A975" s="56"/>
      <c r="B975" s="10"/>
      <c r="C975" s="10"/>
      <c r="D975" s="10"/>
      <c r="E975" s="10"/>
    </row>
    <row r="976" spans="1:5" x14ac:dyDescent="0.2">
      <c r="A976" s="56"/>
      <c r="B976" s="10"/>
      <c r="C976" s="10"/>
      <c r="D976" s="10"/>
      <c r="E976" s="10"/>
    </row>
    <row r="977" spans="1:5" x14ac:dyDescent="0.2">
      <c r="A977" s="56"/>
      <c r="B977" s="10"/>
      <c r="C977" s="10"/>
      <c r="D977" s="10"/>
      <c r="E977" s="10"/>
    </row>
    <row r="978" spans="1:5" x14ac:dyDescent="0.2">
      <c r="A978" s="56"/>
      <c r="B978" s="10"/>
      <c r="C978" s="10"/>
      <c r="D978" s="10"/>
      <c r="E978" s="10"/>
    </row>
    <row r="979" spans="1:5" x14ac:dyDescent="0.2">
      <c r="A979" s="56"/>
      <c r="B979" s="10"/>
      <c r="C979" s="10"/>
      <c r="D979" s="10"/>
      <c r="E979" s="10"/>
    </row>
    <row r="980" spans="1:5" x14ac:dyDescent="0.2">
      <c r="A980" s="56"/>
      <c r="B980" s="10"/>
      <c r="C980" s="10"/>
      <c r="D980" s="10"/>
      <c r="E980" s="10"/>
    </row>
    <row r="981" spans="1:5" x14ac:dyDescent="0.2">
      <c r="A981" s="56"/>
      <c r="B981" s="10"/>
      <c r="C981" s="10"/>
      <c r="D981" s="10"/>
      <c r="E981" s="10"/>
    </row>
    <row r="982" spans="1:5" x14ac:dyDescent="0.2">
      <c r="A982" s="56"/>
      <c r="B982" s="10"/>
      <c r="C982" s="10"/>
      <c r="D982" s="10"/>
      <c r="E982" s="10"/>
    </row>
    <row r="983" spans="1:5" x14ac:dyDescent="0.2">
      <c r="A983" s="56"/>
      <c r="B983" s="10"/>
      <c r="C983" s="10"/>
      <c r="D983" s="10"/>
      <c r="E983" s="10"/>
    </row>
    <row r="984" spans="1:5" x14ac:dyDescent="0.2">
      <c r="A984" s="56"/>
      <c r="B984" s="10"/>
      <c r="C984" s="10"/>
      <c r="D984" s="10"/>
      <c r="E984" s="10"/>
    </row>
    <row r="985" spans="1:5" x14ac:dyDescent="0.2">
      <c r="A985" s="56"/>
      <c r="B985" s="10"/>
      <c r="C985" s="10"/>
      <c r="D985" s="10"/>
      <c r="E985" s="10"/>
    </row>
    <row r="986" spans="1:5" x14ac:dyDescent="0.2">
      <c r="A986" s="56"/>
      <c r="B986" s="10"/>
      <c r="C986" s="10"/>
      <c r="D986" s="10"/>
      <c r="E986" s="10"/>
    </row>
    <row r="987" spans="1:5" x14ac:dyDescent="0.2">
      <c r="A987" s="56"/>
      <c r="B987" s="10"/>
      <c r="C987" s="10"/>
      <c r="D987" s="10"/>
      <c r="E987" s="10"/>
    </row>
    <row r="988" spans="1:5" x14ac:dyDescent="0.2">
      <c r="A988" s="56"/>
      <c r="B988" s="10"/>
      <c r="C988" s="10"/>
      <c r="D988" s="10"/>
      <c r="E988" s="10"/>
    </row>
    <row r="989" spans="1:5" x14ac:dyDescent="0.2">
      <c r="A989" s="56"/>
      <c r="B989" s="10"/>
      <c r="C989" s="10"/>
      <c r="D989" s="10"/>
      <c r="E989" s="10"/>
    </row>
    <row r="990" spans="1:5" x14ac:dyDescent="0.2">
      <c r="A990" s="56"/>
      <c r="B990" s="10"/>
      <c r="C990" s="10"/>
      <c r="D990" s="10"/>
      <c r="E990" s="10"/>
    </row>
    <row r="991" spans="1:5" x14ac:dyDescent="0.2">
      <c r="A991" s="56"/>
      <c r="B991" s="10"/>
      <c r="C991" s="10"/>
      <c r="D991" s="10"/>
      <c r="E991" s="10"/>
    </row>
  </sheetData>
  <autoFilter ref="A18:F833"/>
  <mergeCells count="15">
    <mergeCell ref="D1:F1"/>
    <mergeCell ref="A2:F2"/>
    <mergeCell ref="A3:F3"/>
    <mergeCell ref="A4:F4"/>
    <mergeCell ref="A836:B836"/>
    <mergeCell ref="A17:F17"/>
    <mergeCell ref="A16:F16"/>
    <mergeCell ref="A5:F5"/>
    <mergeCell ref="A6:F6"/>
    <mergeCell ref="A7:F7"/>
    <mergeCell ref="A14:F14"/>
    <mergeCell ref="A10:F10"/>
    <mergeCell ref="A11:F11"/>
    <mergeCell ref="A12:F12"/>
    <mergeCell ref="A13:F13"/>
  </mergeCells>
  <phoneticPr fontId="2" type="noConversion"/>
  <pageMargins left="0.59055118110236227" right="0.39370078740157483" top="0.39370078740157483" bottom="0.39370078740157483" header="0.39370078740157483" footer="0"/>
  <pageSetup paperSize="9" orientation="landscape" useFirstPageNumber="1" r:id="rId1"/>
  <headerFooter alignWithMargins="0">
    <oddFooter>&amp;C&amp;P</oddFooter>
  </headerFooter>
  <rowBreaks count="6" manualBreakCount="6">
    <brk id="31" max="5" man="1"/>
    <brk id="65" max="5" man="1"/>
    <brk id="99" max="5" man="1"/>
    <brk id="561" max="5" man="1"/>
    <brk id="591" max="5" man="1"/>
    <brk id="72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G811"/>
  <sheetViews>
    <sheetView view="pageBreakPreview" topLeftCell="A710" zoomScale="130" zoomScaleNormal="130" zoomScaleSheetLayoutView="130" workbookViewId="0">
      <selection activeCell="A731" sqref="A731"/>
    </sheetView>
  </sheetViews>
  <sheetFormatPr defaultRowHeight="12.75" x14ac:dyDescent="0.2"/>
  <cols>
    <col min="1" max="1" width="75.42578125" style="2" customWidth="1"/>
    <col min="2" max="3" width="7.5703125" style="23" customWidth="1"/>
    <col min="4" max="4" width="13.42578125" style="23" customWidth="1"/>
    <col min="5" max="5" width="9.42578125" style="23" customWidth="1"/>
    <col min="6" max="6" width="14.42578125" style="32" customWidth="1"/>
    <col min="7" max="7" width="13.5703125" style="32" customWidth="1"/>
  </cols>
  <sheetData>
    <row r="1" spans="1:7" ht="15" x14ac:dyDescent="0.25">
      <c r="A1" s="192"/>
      <c r="B1" s="232" t="s">
        <v>288</v>
      </c>
      <c r="C1" s="232"/>
      <c r="D1" s="232"/>
      <c r="E1" s="232"/>
      <c r="F1" s="232"/>
      <c r="G1" s="232"/>
    </row>
    <row r="2" spans="1:7" ht="15" x14ac:dyDescent="0.25">
      <c r="A2" s="232" t="s">
        <v>609</v>
      </c>
      <c r="B2" s="232"/>
      <c r="C2" s="232"/>
      <c r="D2" s="232"/>
      <c r="E2" s="232"/>
      <c r="F2" s="232"/>
      <c r="G2" s="232"/>
    </row>
    <row r="3" spans="1:7" ht="15" x14ac:dyDescent="0.25">
      <c r="A3" s="232" t="s">
        <v>857</v>
      </c>
      <c r="B3" s="232"/>
      <c r="C3" s="232"/>
      <c r="D3" s="232"/>
      <c r="E3" s="232"/>
      <c r="F3" s="232"/>
      <c r="G3" s="232"/>
    </row>
    <row r="4" spans="1:7" ht="15" x14ac:dyDescent="0.25">
      <c r="A4" s="232" t="s">
        <v>602</v>
      </c>
      <c r="B4" s="232"/>
      <c r="C4" s="232"/>
      <c r="D4" s="232"/>
      <c r="E4" s="232"/>
      <c r="F4" s="232"/>
      <c r="G4" s="232"/>
    </row>
    <row r="5" spans="1:7" ht="15" x14ac:dyDescent="0.25">
      <c r="A5" s="232" t="s">
        <v>603</v>
      </c>
      <c r="B5" s="232"/>
      <c r="C5" s="232"/>
      <c r="D5" s="232"/>
      <c r="E5" s="232"/>
      <c r="F5" s="232"/>
      <c r="G5" s="232"/>
    </row>
    <row r="6" spans="1:7" ht="15" x14ac:dyDescent="0.25">
      <c r="A6" s="232" t="s">
        <v>610</v>
      </c>
      <c r="B6" s="232"/>
      <c r="C6" s="232"/>
      <c r="D6" s="232"/>
      <c r="E6" s="232"/>
      <c r="F6" s="232"/>
      <c r="G6" s="232"/>
    </row>
    <row r="7" spans="1:7" ht="15" x14ac:dyDescent="0.25">
      <c r="A7" s="232" t="s">
        <v>604</v>
      </c>
      <c r="B7" s="232"/>
      <c r="C7" s="232"/>
      <c r="D7" s="232"/>
      <c r="E7" s="232"/>
      <c r="F7" s="232"/>
      <c r="G7" s="232"/>
    </row>
    <row r="10" spans="1:7" ht="15" x14ac:dyDescent="0.25">
      <c r="A10" s="232" t="s">
        <v>592</v>
      </c>
      <c r="B10" s="232"/>
      <c r="C10" s="232"/>
      <c r="D10" s="232"/>
      <c r="E10" s="232"/>
      <c r="F10" s="232"/>
      <c r="G10" s="232"/>
    </row>
    <row r="11" spans="1:7" ht="15" x14ac:dyDescent="0.25">
      <c r="A11" s="232" t="s">
        <v>608</v>
      </c>
      <c r="B11" s="232"/>
      <c r="C11" s="232"/>
      <c r="D11" s="232"/>
      <c r="E11" s="232"/>
      <c r="F11" s="232"/>
      <c r="G11" s="232"/>
    </row>
    <row r="12" spans="1:7" ht="15" x14ac:dyDescent="0.25">
      <c r="A12" s="232" t="s">
        <v>605</v>
      </c>
      <c r="B12" s="232"/>
      <c r="C12" s="232"/>
      <c r="D12" s="232"/>
      <c r="E12" s="232"/>
      <c r="F12" s="232"/>
      <c r="G12" s="232"/>
    </row>
    <row r="13" spans="1:7" ht="15" x14ac:dyDescent="0.25">
      <c r="A13" s="232" t="s">
        <v>606</v>
      </c>
      <c r="B13" s="232"/>
      <c r="C13" s="232"/>
      <c r="D13" s="232"/>
      <c r="E13" s="232"/>
      <c r="F13" s="232"/>
      <c r="G13" s="232"/>
    </row>
    <row r="14" spans="1:7" ht="15" x14ac:dyDescent="0.25">
      <c r="A14" s="232" t="s">
        <v>607</v>
      </c>
      <c r="B14" s="232"/>
      <c r="C14" s="232"/>
      <c r="D14" s="232"/>
      <c r="E14" s="232"/>
      <c r="F14" s="232"/>
      <c r="G14" s="232"/>
    </row>
    <row r="15" spans="1:7" x14ac:dyDescent="0.2">
      <c r="A15" s="192"/>
      <c r="B15" s="193"/>
      <c r="C15" s="193"/>
      <c r="D15" s="193"/>
      <c r="E15" s="193"/>
      <c r="F15" s="195"/>
      <c r="G15" s="195"/>
    </row>
    <row r="16" spans="1:7" ht="15.75" x14ac:dyDescent="0.25">
      <c r="A16" s="194"/>
      <c r="B16" s="194"/>
      <c r="C16" s="194"/>
      <c r="D16" s="194"/>
      <c r="E16" s="194"/>
    </row>
    <row r="17" spans="1:7" ht="81" customHeight="1" x14ac:dyDescent="0.2">
      <c r="A17" s="245" t="s">
        <v>593</v>
      </c>
      <c r="B17" s="245"/>
      <c r="C17" s="245"/>
      <c r="D17" s="245"/>
      <c r="E17" s="245"/>
      <c r="F17" s="245"/>
      <c r="G17" s="245"/>
    </row>
    <row r="18" spans="1:7" ht="8.25" customHeight="1" x14ac:dyDescent="0.2">
      <c r="A18" s="196"/>
      <c r="B18" s="196"/>
      <c r="C18" s="196"/>
      <c r="D18" s="196"/>
      <c r="E18" s="196"/>
    </row>
    <row r="19" spans="1:7" x14ac:dyDescent="0.2">
      <c r="A19" s="244" t="s">
        <v>802</v>
      </c>
      <c r="B19" s="244"/>
      <c r="C19" s="244"/>
      <c r="D19" s="244"/>
      <c r="E19" s="244"/>
      <c r="F19" s="244"/>
      <c r="G19" s="244"/>
    </row>
    <row r="20" spans="1:7" ht="24" x14ac:dyDescent="0.2">
      <c r="A20" s="69" t="s">
        <v>252</v>
      </c>
      <c r="B20" s="69" t="s">
        <v>145</v>
      </c>
      <c r="C20" s="69" t="s">
        <v>144</v>
      </c>
      <c r="D20" s="69" t="s">
        <v>253</v>
      </c>
      <c r="E20" s="69" t="s">
        <v>696</v>
      </c>
      <c r="F20" s="69" t="s">
        <v>566</v>
      </c>
      <c r="G20" s="69" t="s">
        <v>566</v>
      </c>
    </row>
    <row r="21" spans="1:7" x14ac:dyDescent="0.2">
      <c r="A21" s="69"/>
      <c r="B21" s="69"/>
      <c r="C21" s="69"/>
      <c r="D21" s="69"/>
      <c r="E21" s="69"/>
      <c r="F21" s="69" t="s">
        <v>567</v>
      </c>
      <c r="G21" s="69" t="s">
        <v>568</v>
      </c>
    </row>
    <row r="22" spans="1:7" ht="17.25" customHeight="1" x14ac:dyDescent="0.2">
      <c r="A22" s="197" t="s">
        <v>255</v>
      </c>
      <c r="B22" s="198"/>
      <c r="C22" s="198"/>
      <c r="D22" s="198"/>
      <c r="E22" s="198"/>
      <c r="F22" s="199">
        <f>F23+F195+F210+F311+F473+F590+F652+F684+F703+F719+F725</f>
        <v>3984811.3964000004</v>
      </c>
      <c r="G22" s="199">
        <f>G23+G195+G210+G311+G473+G590+G652+G684+G703+G719+G725</f>
        <v>3868322.95</v>
      </c>
    </row>
    <row r="23" spans="1:7" x14ac:dyDescent="0.2">
      <c r="A23" s="66" t="s">
        <v>256</v>
      </c>
      <c r="B23" s="24" t="s">
        <v>214</v>
      </c>
      <c r="C23" s="24" t="s">
        <v>215</v>
      </c>
      <c r="D23" s="24"/>
      <c r="E23" s="24"/>
      <c r="F23" s="35">
        <f>F24+F31+F42+F59+F65+F86+F92</f>
        <v>285156.59999999998</v>
      </c>
      <c r="G23" s="35">
        <f>G24+G31+G42+G59+G65+G86+G92</f>
        <v>285020.5</v>
      </c>
    </row>
    <row r="24" spans="1:7" ht="24" x14ac:dyDescent="0.2">
      <c r="A24" s="80" t="s">
        <v>797</v>
      </c>
      <c r="B24" s="24" t="s">
        <v>214</v>
      </c>
      <c r="C24" s="24" t="s">
        <v>825</v>
      </c>
      <c r="D24" s="24"/>
      <c r="E24" s="24"/>
      <c r="F24" s="42">
        <f t="shared" ref="F24:G29" si="0">F25</f>
        <v>1946</v>
      </c>
      <c r="G24" s="42">
        <f t="shared" si="0"/>
        <v>1946</v>
      </c>
    </row>
    <row r="25" spans="1:7" x14ac:dyDescent="0.2">
      <c r="A25" s="83" t="s">
        <v>146</v>
      </c>
      <c r="B25" s="25" t="s">
        <v>214</v>
      </c>
      <c r="C25" s="25" t="s">
        <v>825</v>
      </c>
      <c r="D25" s="25" t="s">
        <v>388</v>
      </c>
      <c r="E25" s="25"/>
      <c r="F25" s="45">
        <f t="shared" si="0"/>
        <v>1946</v>
      </c>
      <c r="G25" s="45">
        <f t="shared" si="0"/>
        <v>1946</v>
      </c>
    </row>
    <row r="26" spans="1:7" x14ac:dyDescent="0.2">
      <c r="A26" s="80" t="s">
        <v>250</v>
      </c>
      <c r="B26" s="24" t="s">
        <v>214</v>
      </c>
      <c r="C26" s="24" t="s">
        <v>825</v>
      </c>
      <c r="D26" s="24" t="s">
        <v>389</v>
      </c>
      <c r="E26" s="24"/>
      <c r="F26" s="42">
        <f t="shared" si="0"/>
        <v>1946</v>
      </c>
      <c r="G26" s="42">
        <f t="shared" si="0"/>
        <v>1946</v>
      </c>
    </row>
    <row r="27" spans="1:7" x14ac:dyDescent="0.2">
      <c r="A27" s="85" t="s">
        <v>495</v>
      </c>
      <c r="B27" s="33" t="s">
        <v>214</v>
      </c>
      <c r="C27" s="33" t="s">
        <v>825</v>
      </c>
      <c r="D27" s="33" t="s">
        <v>390</v>
      </c>
      <c r="E27" s="30"/>
      <c r="F27" s="101">
        <f t="shared" si="0"/>
        <v>1946</v>
      </c>
      <c r="G27" s="101">
        <f t="shared" si="0"/>
        <v>1946</v>
      </c>
    </row>
    <row r="28" spans="1:7" x14ac:dyDescent="0.2">
      <c r="A28" s="73" t="s">
        <v>142</v>
      </c>
      <c r="B28" s="88" t="s">
        <v>214</v>
      </c>
      <c r="C28" s="88" t="s">
        <v>825</v>
      </c>
      <c r="D28" s="88" t="s">
        <v>391</v>
      </c>
      <c r="E28" s="89"/>
      <c r="F28" s="42">
        <f t="shared" si="0"/>
        <v>1946</v>
      </c>
      <c r="G28" s="42">
        <f t="shared" si="0"/>
        <v>1946</v>
      </c>
    </row>
    <row r="29" spans="1:7" ht="36" x14ac:dyDescent="0.2">
      <c r="A29" s="84" t="s">
        <v>217</v>
      </c>
      <c r="B29" s="30" t="s">
        <v>214</v>
      </c>
      <c r="C29" s="30" t="s">
        <v>825</v>
      </c>
      <c r="D29" s="30" t="s">
        <v>392</v>
      </c>
      <c r="E29" s="30" t="s">
        <v>218</v>
      </c>
      <c r="F29" s="41">
        <f t="shared" si="0"/>
        <v>1946</v>
      </c>
      <c r="G29" s="41">
        <f t="shared" si="0"/>
        <v>1946</v>
      </c>
    </row>
    <row r="30" spans="1:7" x14ac:dyDescent="0.2">
      <c r="A30" s="84" t="s">
        <v>219</v>
      </c>
      <c r="B30" s="30" t="s">
        <v>214</v>
      </c>
      <c r="C30" s="30" t="s">
        <v>825</v>
      </c>
      <c r="D30" s="30" t="s">
        <v>392</v>
      </c>
      <c r="E30" s="30" t="s">
        <v>224</v>
      </c>
      <c r="F30" s="41">
        <v>1946</v>
      </c>
      <c r="G30" s="41">
        <v>1946</v>
      </c>
    </row>
    <row r="31" spans="1:7" ht="24" x14ac:dyDescent="0.2">
      <c r="A31" s="80" t="s">
        <v>500</v>
      </c>
      <c r="B31" s="24" t="s">
        <v>214</v>
      </c>
      <c r="C31" s="24" t="s">
        <v>817</v>
      </c>
      <c r="D31" s="24"/>
      <c r="E31" s="24"/>
      <c r="F31" s="42">
        <f>F32+F37</f>
        <v>22847</v>
      </c>
      <c r="G31" s="42">
        <f>G32+G37</f>
        <v>22847</v>
      </c>
    </row>
    <row r="32" spans="1:7" ht="24" x14ac:dyDescent="0.2">
      <c r="A32" s="83" t="s">
        <v>141</v>
      </c>
      <c r="B32" s="25" t="s">
        <v>214</v>
      </c>
      <c r="C32" s="25" t="s">
        <v>817</v>
      </c>
      <c r="D32" s="67" t="s">
        <v>393</v>
      </c>
      <c r="E32" s="58"/>
      <c r="F32" s="45">
        <f t="shared" ref="F32:G35" si="1">F33</f>
        <v>19067</v>
      </c>
      <c r="G32" s="45">
        <f t="shared" si="1"/>
        <v>19067</v>
      </c>
    </row>
    <row r="33" spans="1:7" x14ac:dyDescent="0.2">
      <c r="A33" s="80" t="s">
        <v>250</v>
      </c>
      <c r="B33" s="24" t="s">
        <v>214</v>
      </c>
      <c r="C33" s="24" t="s">
        <v>817</v>
      </c>
      <c r="D33" s="97" t="s">
        <v>287</v>
      </c>
      <c r="E33" s="37"/>
      <c r="F33" s="42">
        <f t="shared" si="1"/>
        <v>19067</v>
      </c>
      <c r="G33" s="42">
        <f t="shared" si="1"/>
        <v>19067</v>
      </c>
    </row>
    <row r="34" spans="1:7" x14ac:dyDescent="0.2">
      <c r="A34" s="73" t="s">
        <v>142</v>
      </c>
      <c r="B34" s="88" t="s">
        <v>214</v>
      </c>
      <c r="C34" s="88" t="s">
        <v>817</v>
      </c>
      <c r="D34" s="88" t="s">
        <v>397</v>
      </c>
      <c r="E34" s="89"/>
      <c r="F34" s="42">
        <f t="shared" si="1"/>
        <v>19067</v>
      </c>
      <c r="G34" s="42">
        <f t="shared" si="1"/>
        <v>19067</v>
      </c>
    </row>
    <row r="35" spans="1:7" ht="36" x14ac:dyDescent="0.2">
      <c r="A35" s="84" t="s">
        <v>217</v>
      </c>
      <c r="B35" s="30" t="s">
        <v>214</v>
      </c>
      <c r="C35" s="30" t="s">
        <v>817</v>
      </c>
      <c r="D35" s="30" t="s">
        <v>397</v>
      </c>
      <c r="E35" s="30" t="s">
        <v>218</v>
      </c>
      <c r="F35" s="41">
        <f t="shared" si="1"/>
        <v>19067</v>
      </c>
      <c r="G35" s="41">
        <f t="shared" si="1"/>
        <v>19067</v>
      </c>
    </row>
    <row r="36" spans="1:7" x14ac:dyDescent="0.2">
      <c r="A36" s="84" t="s">
        <v>219</v>
      </c>
      <c r="B36" s="30" t="s">
        <v>214</v>
      </c>
      <c r="C36" s="30" t="s">
        <v>817</v>
      </c>
      <c r="D36" s="30" t="s">
        <v>397</v>
      </c>
      <c r="E36" s="30" t="s">
        <v>224</v>
      </c>
      <c r="F36" s="41">
        <f>14008+700+4359</f>
        <v>19067</v>
      </c>
      <c r="G36" s="41">
        <f>14008+700+4359</f>
        <v>19067</v>
      </c>
    </row>
    <row r="37" spans="1:7" x14ac:dyDescent="0.2">
      <c r="A37" s="80" t="s">
        <v>298</v>
      </c>
      <c r="B37" s="24" t="s">
        <v>214</v>
      </c>
      <c r="C37" s="24" t="s">
        <v>817</v>
      </c>
      <c r="D37" s="24" t="s">
        <v>398</v>
      </c>
      <c r="E37" s="30"/>
      <c r="F37" s="42">
        <f>F38+F40</f>
        <v>3780</v>
      </c>
      <c r="G37" s="42">
        <f>G38+G40</f>
        <v>3780</v>
      </c>
    </row>
    <row r="38" spans="1:7" x14ac:dyDescent="0.2">
      <c r="A38" s="84" t="s">
        <v>473</v>
      </c>
      <c r="B38" s="30" t="s">
        <v>214</v>
      </c>
      <c r="C38" s="30" t="s">
        <v>817</v>
      </c>
      <c r="D38" s="30" t="s">
        <v>398</v>
      </c>
      <c r="E38" s="30" t="s">
        <v>226</v>
      </c>
      <c r="F38" s="41">
        <f>F39</f>
        <v>3755</v>
      </c>
      <c r="G38" s="41">
        <f>G39</f>
        <v>3755</v>
      </c>
    </row>
    <row r="39" spans="1:7" x14ac:dyDescent="0.2">
      <c r="A39" s="84" t="s">
        <v>227</v>
      </c>
      <c r="B39" s="30" t="s">
        <v>214</v>
      </c>
      <c r="C39" s="30" t="s">
        <v>817</v>
      </c>
      <c r="D39" s="30" t="s">
        <v>398</v>
      </c>
      <c r="E39" s="30" t="s">
        <v>228</v>
      </c>
      <c r="F39" s="41">
        <v>3755</v>
      </c>
      <c r="G39" s="41">
        <v>3755</v>
      </c>
    </row>
    <row r="40" spans="1:7" x14ac:dyDescent="0.2">
      <c r="A40" s="84" t="s">
        <v>229</v>
      </c>
      <c r="B40" s="30" t="s">
        <v>214</v>
      </c>
      <c r="C40" s="30" t="s">
        <v>817</v>
      </c>
      <c r="D40" s="30" t="s">
        <v>398</v>
      </c>
      <c r="E40" s="30" t="s">
        <v>230</v>
      </c>
      <c r="F40" s="41">
        <f>F41</f>
        <v>25</v>
      </c>
      <c r="G40" s="41">
        <f>G41</f>
        <v>25</v>
      </c>
    </row>
    <row r="41" spans="1:7" x14ac:dyDescent="0.2">
      <c r="A41" s="84" t="s">
        <v>106</v>
      </c>
      <c r="B41" s="30" t="s">
        <v>214</v>
      </c>
      <c r="C41" s="30" t="s">
        <v>817</v>
      </c>
      <c r="D41" s="30" t="s">
        <v>398</v>
      </c>
      <c r="E41" s="30" t="s">
        <v>231</v>
      </c>
      <c r="F41" s="41">
        <v>25</v>
      </c>
      <c r="G41" s="41">
        <v>25</v>
      </c>
    </row>
    <row r="42" spans="1:7" ht="24" x14ac:dyDescent="0.2">
      <c r="A42" s="66" t="s">
        <v>501</v>
      </c>
      <c r="B42" s="24" t="s">
        <v>214</v>
      </c>
      <c r="C42" s="24" t="s">
        <v>216</v>
      </c>
      <c r="D42" s="24"/>
      <c r="E42" s="24"/>
      <c r="F42" s="35">
        <f>F43+F49</f>
        <v>128522.2</v>
      </c>
      <c r="G42" s="35">
        <f>G43+G49</f>
        <v>128522.2</v>
      </c>
    </row>
    <row r="43" spans="1:7" x14ac:dyDescent="0.2">
      <c r="A43" s="81" t="s">
        <v>212</v>
      </c>
      <c r="B43" s="25" t="s">
        <v>214</v>
      </c>
      <c r="C43" s="25" t="s">
        <v>216</v>
      </c>
      <c r="D43" s="25" t="s">
        <v>379</v>
      </c>
      <c r="E43" s="25"/>
      <c r="F43" s="45">
        <f t="shared" ref="F43:G47" si="2">F44</f>
        <v>1800</v>
      </c>
      <c r="G43" s="45">
        <f t="shared" si="2"/>
        <v>1800</v>
      </c>
    </row>
    <row r="44" spans="1:7" x14ac:dyDescent="0.2">
      <c r="A44" s="82" t="s">
        <v>476</v>
      </c>
      <c r="B44" s="24" t="s">
        <v>214</v>
      </c>
      <c r="C44" s="24" t="s">
        <v>216</v>
      </c>
      <c r="D44" s="24" t="s">
        <v>380</v>
      </c>
      <c r="E44" s="24"/>
      <c r="F44" s="42">
        <f t="shared" si="2"/>
        <v>1800</v>
      </c>
      <c r="G44" s="42">
        <f t="shared" si="2"/>
        <v>1800</v>
      </c>
    </row>
    <row r="45" spans="1:7" ht="24" x14ac:dyDescent="0.2">
      <c r="A45" s="83" t="s">
        <v>502</v>
      </c>
      <c r="B45" s="25" t="s">
        <v>214</v>
      </c>
      <c r="C45" s="25" t="s">
        <v>216</v>
      </c>
      <c r="D45" s="25" t="s">
        <v>380</v>
      </c>
      <c r="E45" s="33"/>
      <c r="F45" s="101">
        <f t="shared" si="2"/>
        <v>1800</v>
      </c>
      <c r="G45" s="101">
        <f t="shared" si="2"/>
        <v>1800</v>
      </c>
    </row>
    <row r="46" spans="1:7" x14ac:dyDescent="0.2">
      <c r="A46" s="82" t="s">
        <v>475</v>
      </c>
      <c r="B46" s="24" t="s">
        <v>214</v>
      </c>
      <c r="C46" s="24" t="s">
        <v>216</v>
      </c>
      <c r="D46" s="24" t="s">
        <v>381</v>
      </c>
      <c r="E46" s="24"/>
      <c r="F46" s="42">
        <f t="shared" si="2"/>
        <v>1800</v>
      </c>
      <c r="G46" s="42">
        <f t="shared" si="2"/>
        <v>1800</v>
      </c>
    </row>
    <row r="47" spans="1:7" ht="36" x14ac:dyDescent="0.2">
      <c r="A47" s="84" t="s">
        <v>217</v>
      </c>
      <c r="B47" s="30" t="s">
        <v>214</v>
      </c>
      <c r="C47" s="30" t="s">
        <v>216</v>
      </c>
      <c r="D47" s="30" t="s">
        <v>381</v>
      </c>
      <c r="E47" s="30" t="s">
        <v>218</v>
      </c>
      <c r="F47" s="41">
        <f t="shared" si="2"/>
        <v>1800</v>
      </c>
      <c r="G47" s="41">
        <f t="shared" si="2"/>
        <v>1800</v>
      </c>
    </row>
    <row r="48" spans="1:7" x14ac:dyDescent="0.2">
      <c r="A48" s="84" t="s">
        <v>219</v>
      </c>
      <c r="B48" s="30" t="s">
        <v>214</v>
      </c>
      <c r="C48" s="30" t="s">
        <v>216</v>
      </c>
      <c r="D48" s="30" t="s">
        <v>381</v>
      </c>
      <c r="E48" s="30" t="s">
        <v>224</v>
      </c>
      <c r="F48" s="41">
        <v>1800</v>
      </c>
      <c r="G48" s="41">
        <v>1800</v>
      </c>
    </row>
    <row r="49" spans="1:7" x14ac:dyDescent="0.2">
      <c r="A49" s="81" t="s">
        <v>212</v>
      </c>
      <c r="B49" s="25" t="s">
        <v>214</v>
      </c>
      <c r="C49" s="25" t="s">
        <v>216</v>
      </c>
      <c r="D49" s="25" t="s">
        <v>382</v>
      </c>
      <c r="E49" s="25"/>
      <c r="F49" s="45">
        <f>F50</f>
        <v>126722.2</v>
      </c>
      <c r="G49" s="45">
        <f>G50</f>
        <v>126722.2</v>
      </c>
    </row>
    <row r="50" spans="1:7" x14ac:dyDescent="0.2">
      <c r="A50" s="82" t="s">
        <v>476</v>
      </c>
      <c r="B50" s="24" t="s">
        <v>214</v>
      </c>
      <c r="C50" s="24" t="s">
        <v>216</v>
      </c>
      <c r="D50" s="24" t="s">
        <v>383</v>
      </c>
      <c r="E50" s="25"/>
      <c r="F50" s="42">
        <f>F51+F54</f>
        <v>126722.2</v>
      </c>
      <c r="G50" s="42">
        <f>G51+G54</f>
        <v>126722.2</v>
      </c>
    </row>
    <row r="51" spans="1:7" x14ac:dyDescent="0.2">
      <c r="A51" s="82" t="s">
        <v>138</v>
      </c>
      <c r="B51" s="24" t="s">
        <v>214</v>
      </c>
      <c r="C51" s="24" t="s">
        <v>216</v>
      </c>
      <c r="D51" s="24" t="s">
        <v>384</v>
      </c>
      <c r="E51" s="24"/>
      <c r="F51" s="42">
        <f>F52</f>
        <v>102507.2</v>
      </c>
      <c r="G51" s="42">
        <f>G52</f>
        <v>102507.2</v>
      </c>
    </row>
    <row r="52" spans="1:7" ht="36" x14ac:dyDescent="0.2">
      <c r="A52" s="84" t="s">
        <v>217</v>
      </c>
      <c r="B52" s="30" t="s">
        <v>214</v>
      </c>
      <c r="C52" s="30" t="s">
        <v>216</v>
      </c>
      <c r="D52" s="30" t="s">
        <v>384</v>
      </c>
      <c r="E52" s="30" t="s">
        <v>218</v>
      </c>
      <c r="F52" s="41">
        <f>F53</f>
        <v>102507.2</v>
      </c>
      <c r="G52" s="41">
        <f>G53</f>
        <v>102507.2</v>
      </c>
    </row>
    <row r="53" spans="1:7" x14ac:dyDescent="0.2">
      <c r="A53" s="84" t="s">
        <v>219</v>
      </c>
      <c r="B53" s="30" t="s">
        <v>214</v>
      </c>
      <c r="C53" s="30" t="s">
        <v>216</v>
      </c>
      <c r="D53" s="30" t="s">
        <v>384</v>
      </c>
      <c r="E53" s="30" t="s">
        <v>224</v>
      </c>
      <c r="F53" s="41">
        <f>63500+12805.2+13870+12332</f>
        <v>102507.2</v>
      </c>
      <c r="G53" s="41">
        <f>63500+12805.2+13870+12332</f>
        <v>102507.2</v>
      </c>
    </row>
    <row r="54" spans="1:7" x14ac:dyDescent="0.2">
      <c r="A54" s="80" t="s">
        <v>225</v>
      </c>
      <c r="B54" s="24" t="s">
        <v>214</v>
      </c>
      <c r="C54" s="24" t="s">
        <v>216</v>
      </c>
      <c r="D54" s="24" t="s">
        <v>385</v>
      </c>
      <c r="E54" s="24"/>
      <c r="F54" s="42">
        <f>F55+F57</f>
        <v>24215</v>
      </c>
      <c r="G54" s="42">
        <f>G55+G57</f>
        <v>24215</v>
      </c>
    </row>
    <row r="55" spans="1:7" x14ac:dyDescent="0.2">
      <c r="A55" s="84" t="s">
        <v>473</v>
      </c>
      <c r="B55" s="30" t="s">
        <v>214</v>
      </c>
      <c r="C55" s="30" t="s">
        <v>216</v>
      </c>
      <c r="D55" s="30" t="s">
        <v>385</v>
      </c>
      <c r="E55" s="30" t="s">
        <v>226</v>
      </c>
      <c r="F55" s="41">
        <f>F56</f>
        <v>23363</v>
      </c>
      <c r="G55" s="41">
        <f>G56</f>
        <v>23363</v>
      </c>
    </row>
    <row r="56" spans="1:7" x14ac:dyDescent="0.2">
      <c r="A56" s="84" t="s">
        <v>227</v>
      </c>
      <c r="B56" s="30" t="s">
        <v>214</v>
      </c>
      <c r="C56" s="30" t="s">
        <v>216</v>
      </c>
      <c r="D56" s="30" t="s">
        <v>385</v>
      </c>
      <c r="E56" s="30" t="s">
        <v>228</v>
      </c>
      <c r="F56" s="41">
        <f>17380+2630+2800+553</f>
        <v>23363</v>
      </c>
      <c r="G56" s="41">
        <f>17380+2630+2800+553</f>
        <v>23363</v>
      </c>
    </row>
    <row r="57" spans="1:7" x14ac:dyDescent="0.2">
      <c r="A57" s="84" t="s">
        <v>229</v>
      </c>
      <c r="B57" s="30" t="s">
        <v>214</v>
      </c>
      <c r="C57" s="30" t="s">
        <v>216</v>
      </c>
      <c r="D57" s="30" t="s">
        <v>385</v>
      </c>
      <c r="E57" s="30" t="s">
        <v>230</v>
      </c>
      <c r="F57" s="41">
        <f>F58</f>
        <v>852</v>
      </c>
      <c r="G57" s="41">
        <f>G58</f>
        <v>852</v>
      </c>
    </row>
    <row r="58" spans="1:7" x14ac:dyDescent="0.2">
      <c r="A58" s="84" t="s">
        <v>106</v>
      </c>
      <c r="B58" s="30" t="s">
        <v>214</v>
      </c>
      <c r="C58" s="30" t="s">
        <v>216</v>
      </c>
      <c r="D58" s="30" t="s">
        <v>385</v>
      </c>
      <c r="E58" s="30" t="s">
        <v>231</v>
      </c>
      <c r="F58" s="41">
        <f>660+40+150+2</f>
        <v>852</v>
      </c>
      <c r="G58" s="41">
        <f>660+40+150+2</f>
        <v>852</v>
      </c>
    </row>
    <row r="59" spans="1:7" s="32" customFormat="1" x14ac:dyDescent="0.2">
      <c r="A59" s="80" t="s">
        <v>760</v>
      </c>
      <c r="B59" s="24" t="s">
        <v>214</v>
      </c>
      <c r="C59" s="24" t="s">
        <v>731</v>
      </c>
      <c r="D59" s="24"/>
      <c r="E59" s="24"/>
      <c r="F59" s="42">
        <f t="shared" ref="F59:G63" si="3">F60</f>
        <v>192.4</v>
      </c>
      <c r="G59" s="42">
        <f t="shared" si="3"/>
        <v>203.3</v>
      </c>
    </row>
    <row r="60" spans="1:7" s="32" customFormat="1" x14ac:dyDescent="0.2">
      <c r="A60" s="81" t="s">
        <v>212</v>
      </c>
      <c r="B60" s="25" t="s">
        <v>214</v>
      </c>
      <c r="C60" s="25" t="s">
        <v>731</v>
      </c>
      <c r="D60" s="25" t="s">
        <v>382</v>
      </c>
      <c r="E60" s="30"/>
      <c r="F60" s="45">
        <f t="shared" si="3"/>
        <v>192.4</v>
      </c>
      <c r="G60" s="45">
        <f t="shared" si="3"/>
        <v>203.3</v>
      </c>
    </row>
    <row r="61" spans="1:7" s="32" customFormat="1" x14ac:dyDescent="0.2">
      <c r="A61" s="82" t="s">
        <v>476</v>
      </c>
      <c r="B61" s="24" t="s">
        <v>214</v>
      </c>
      <c r="C61" s="24" t="s">
        <v>731</v>
      </c>
      <c r="D61" s="24" t="s">
        <v>383</v>
      </c>
      <c r="E61" s="30"/>
      <c r="F61" s="42">
        <f t="shared" si="3"/>
        <v>192.4</v>
      </c>
      <c r="G61" s="42">
        <f t="shared" si="3"/>
        <v>203.3</v>
      </c>
    </row>
    <row r="62" spans="1:7" s="32" customFormat="1" ht="24" x14ac:dyDescent="0.2">
      <c r="A62" s="80" t="s">
        <v>764</v>
      </c>
      <c r="B62" s="24" t="s">
        <v>214</v>
      </c>
      <c r="C62" s="24" t="s">
        <v>731</v>
      </c>
      <c r="D62" s="24" t="s">
        <v>559</v>
      </c>
      <c r="E62" s="24"/>
      <c r="F62" s="42">
        <f t="shared" si="3"/>
        <v>192.4</v>
      </c>
      <c r="G62" s="42">
        <f t="shared" si="3"/>
        <v>203.3</v>
      </c>
    </row>
    <row r="63" spans="1:7" s="32" customFormat="1" x14ac:dyDescent="0.2">
      <c r="A63" s="84" t="s">
        <v>473</v>
      </c>
      <c r="B63" s="30" t="s">
        <v>214</v>
      </c>
      <c r="C63" s="30" t="s">
        <v>731</v>
      </c>
      <c r="D63" s="30" t="s">
        <v>559</v>
      </c>
      <c r="E63" s="30" t="s">
        <v>226</v>
      </c>
      <c r="F63" s="41">
        <f t="shared" si="3"/>
        <v>192.4</v>
      </c>
      <c r="G63" s="41">
        <f t="shared" si="3"/>
        <v>203.3</v>
      </c>
    </row>
    <row r="64" spans="1:7" s="32" customFormat="1" x14ac:dyDescent="0.2">
      <c r="A64" s="84" t="s">
        <v>227</v>
      </c>
      <c r="B64" s="30" t="s">
        <v>214</v>
      </c>
      <c r="C64" s="30" t="s">
        <v>731</v>
      </c>
      <c r="D64" s="30" t="s">
        <v>559</v>
      </c>
      <c r="E64" s="30" t="s">
        <v>228</v>
      </c>
      <c r="F64" s="41">
        <v>192.4</v>
      </c>
      <c r="G64" s="41">
        <v>203.3</v>
      </c>
    </row>
    <row r="65" spans="1:7" ht="24" x14ac:dyDescent="0.2">
      <c r="A65" s="80" t="s">
        <v>506</v>
      </c>
      <c r="B65" s="24" t="s">
        <v>214</v>
      </c>
      <c r="C65" s="24" t="s">
        <v>474</v>
      </c>
      <c r="D65" s="24"/>
      <c r="E65" s="24"/>
      <c r="F65" s="42">
        <f>F66+F76</f>
        <v>30111</v>
      </c>
      <c r="G65" s="42">
        <f>G66+G76</f>
        <v>30111</v>
      </c>
    </row>
    <row r="66" spans="1:7" ht="24" x14ac:dyDescent="0.2">
      <c r="A66" s="81" t="s">
        <v>686</v>
      </c>
      <c r="B66" s="25" t="s">
        <v>214</v>
      </c>
      <c r="C66" s="25" t="s">
        <v>474</v>
      </c>
      <c r="D66" s="25" t="s">
        <v>400</v>
      </c>
      <c r="E66" s="33"/>
      <c r="F66" s="45">
        <f>F67</f>
        <v>14722</v>
      </c>
      <c r="G66" s="45">
        <f>G67</f>
        <v>14722</v>
      </c>
    </row>
    <row r="67" spans="1:7" x14ac:dyDescent="0.2">
      <c r="A67" s="82" t="s">
        <v>476</v>
      </c>
      <c r="B67" s="24" t="s">
        <v>214</v>
      </c>
      <c r="C67" s="24" t="s">
        <v>474</v>
      </c>
      <c r="D67" s="24" t="s">
        <v>401</v>
      </c>
      <c r="E67" s="24"/>
      <c r="F67" s="42">
        <f>F68+F71</f>
        <v>14722</v>
      </c>
      <c r="G67" s="42">
        <f>G68+G71</f>
        <v>14722</v>
      </c>
    </row>
    <row r="68" spans="1:7" ht="24" x14ac:dyDescent="0.2">
      <c r="A68" s="82" t="s">
        <v>151</v>
      </c>
      <c r="B68" s="24" t="s">
        <v>214</v>
      </c>
      <c r="C68" s="24" t="s">
        <v>474</v>
      </c>
      <c r="D68" s="24" t="s">
        <v>402</v>
      </c>
      <c r="E68" s="24"/>
      <c r="F68" s="42">
        <f>F69</f>
        <v>11923</v>
      </c>
      <c r="G68" s="42">
        <f>G69</f>
        <v>11923</v>
      </c>
    </row>
    <row r="69" spans="1:7" ht="36" x14ac:dyDescent="0.2">
      <c r="A69" s="84" t="s">
        <v>217</v>
      </c>
      <c r="B69" s="30" t="s">
        <v>214</v>
      </c>
      <c r="C69" s="30" t="s">
        <v>474</v>
      </c>
      <c r="D69" s="30" t="s">
        <v>402</v>
      </c>
      <c r="E69" s="30" t="s">
        <v>218</v>
      </c>
      <c r="F69" s="41">
        <f>F70</f>
        <v>11923</v>
      </c>
      <c r="G69" s="41">
        <f>G70</f>
        <v>11923</v>
      </c>
    </row>
    <row r="70" spans="1:7" x14ac:dyDescent="0.2">
      <c r="A70" s="84" t="s">
        <v>219</v>
      </c>
      <c r="B70" s="30" t="s">
        <v>214</v>
      </c>
      <c r="C70" s="30" t="s">
        <v>474</v>
      </c>
      <c r="D70" s="30" t="s">
        <v>402</v>
      </c>
      <c r="E70" s="30" t="s">
        <v>224</v>
      </c>
      <c r="F70" s="41">
        <f>9403+20+2500</f>
        <v>11923</v>
      </c>
      <c r="G70" s="41">
        <f>9403+20+2500</f>
        <v>11923</v>
      </c>
    </row>
    <row r="71" spans="1:7" ht="24" x14ac:dyDescent="0.2">
      <c r="A71" s="80" t="s">
        <v>152</v>
      </c>
      <c r="B71" s="24" t="s">
        <v>214</v>
      </c>
      <c r="C71" s="24" t="s">
        <v>474</v>
      </c>
      <c r="D71" s="24" t="s">
        <v>403</v>
      </c>
      <c r="E71" s="24"/>
      <c r="F71" s="42">
        <f>F72+F74</f>
        <v>2799</v>
      </c>
      <c r="G71" s="42">
        <f>G72+G74</f>
        <v>2799</v>
      </c>
    </row>
    <row r="72" spans="1:7" x14ac:dyDescent="0.2">
      <c r="A72" s="84" t="s">
        <v>473</v>
      </c>
      <c r="B72" s="30" t="s">
        <v>214</v>
      </c>
      <c r="C72" s="30" t="s">
        <v>474</v>
      </c>
      <c r="D72" s="30" t="s">
        <v>403</v>
      </c>
      <c r="E72" s="30" t="s">
        <v>226</v>
      </c>
      <c r="F72" s="41">
        <f>F73</f>
        <v>2785</v>
      </c>
      <c r="G72" s="41">
        <f>G73</f>
        <v>2785</v>
      </c>
    </row>
    <row r="73" spans="1:7" x14ac:dyDescent="0.2">
      <c r="A73" s="84" t="s">
        <v>227</v>
      </c>
      <c r="B73" s="30" t="s">
        <v>214</v>
      </c>
      <c r="C73" s="30" t="s">
        <v>474</v>
      </c>
      <c r="D73" s="30" t="s">
        <v>403</v>
      </c>
      <c r="E73" s="30" t="s">
        <v>228</v>
      </c>
      <c r="F73" s="41">
        <v>2785</v>
      </c>
      <c r="G73" s="41">
        <v>2785</v>
      </c>
    </row>
    <row r="74" spans="1:7" x14ac:dyDescent="0.2">
      <c r="A74" s="84" t="s">
        <v>229</v>
      </c>
      <c r="B74" s="30" t="s">
        <v>214</v>
      </c>
      <c r="C74" s="30" t="s">
        <v>474</v>
      </c>
      <c r="D74" s="30" t="s">
        <v>403</v>
      </c>
      <c r="E74" s="30" t="s">
        <v>230</v>
      </c>
      <c r="F74" s="41">
        <f>F75</f>
        <v>14</v>
      </c>
      <c r="G74" s="41">
        <f>G75</f>
        <v>14</v>
      </c>
    </row>
    <row r="75" spans="1:7" x14ac:dyDescent="0.2">
      <c r="A75" s="84" t="s">
        <v>106</v>
      </c>
      <c r="B75" s="30" t="s">
        <v>214</v>
      </c>
      <c r="C75" s="30" t="s">
        <v>474</v>
      </c>
      <c r="D75" s="30" t="s">
        <v>403</v>
      </c>
      <c r="E75" s="30" t="s">
        <v>231</v>
      </c>
      <c r="F75" s="41">
        <v>14</v>
      </c>
      <c r="G75" s="41">
        <v>14</v>
      </c>
    </row>
    <row r="76" spans="1:7" ht="24" x14ac:dyDescent="0.2">
      <c r="A76" s="81" t="s">
        <v>517</v>
      </c>
      <c r="B76" s="25" t="s">
        <v>214</v>
      </c>
      <c r="C76" s="25" t="s">
        <v>474</v>
      </c>
      <c r="D76" s="25" t="s">
        <v>382</v>
      </c>
      <c r="E76" s="25"/>
      <c r="F76" s="45">
        <f>F77</f>
        <v>15389</v>
      </c>
      <c r="G76" s="45">
        <f>G77</f>
        <v>15389</v>
      </c>
    </row>
    <row r="77" spans="1:7" x14ac:dyDescent="0.2">
      <c r="A77" s="82" t="s">
        <v>476</v>
      </c>
      <c r="B77" s="24" t="s">
        <v>214</v>
      </c>
      <c r="C77" s="24" t="s">
        <v>474</v>
      </c>
      <c r="D77" s="24" t="s">
        <v>383</v>
      </c>
      <c r="E77" s="24"/>
      <c r="F77" s="42">
        <f>F78+F81</f>
        <v>15389</v>
      </c>
      <c r="G77" s="42">
        <f>G78+G81</f>
        <v>15389</v>
      </c>
    </row>
    <row r="78" spans="1:7" x14ac:dyDescent="0.2">
      <c r="A78" s="82" t="s">
        <v>515</v>
      </c>
      <c r="B78" s="24" t="s">
        <v>214</v>
      </c>
      <c r="C78" s="24" t="s">
        <v>474</v>
      </c>
      <c r="D78" s="24" t="s">
        <v>384</v>
      </c>
      <c r="E78" s="24"/>
      <c r="F78" s="99">
        <f>F79</f>
        <v>12615</v>
      </c>
      <c r="G78" s="99">
        <f>G79</f>
        <v>12615</v>
      </c>
    </row>
    <row r="79" spans="1:7" ht="36" x14ac:dyDescent="0.2">
      <c r="A79" s="84" t="s">
        <v>217</v>
      </c>
      <c r="B79" s="30" t="s">
        <v>214</v>
      </c>
      <c r="C79" s="30" t="s">
        <v>474</v>
      </c>
      <c r="D79" s="30" t="s">
        <v>384</v>
      </c>
      <c r="E79" s="30" t="s">
        <v>218</v>
      </c>
      <c r="F79" s="41">
        <f>F80</f>
        <v>12615</v>
      </c>
      <c r="G79" s="41">
        <f>G80</f>
        <v>12615</v>
      </c>
    </row>
    <row r="80" spans="1:7" x14ac:dyDescent="0.2">
      <c r="A80" s="84" t="s">
        <v>219</v>
      </c>
      <c r="B80" s="30" t="s">
        <v>214</v>
      </c>
      <c r="C80" s="30" t="s">
        <v>474</v>
      </c>
      <c r="D80" s="30" t="s">
        <v>384</v>
      </c>
      <c r="E80" s="30" t="s">
        <v>224</v>
      </c>
      <c r="F80" s="41">
        <f>9695+2920</f>
        <v>12615</v>
      </c>
      <c r="G80" s="41">
        <f>9695+2920</f>
        <v>12615</v>
      </c>
    </row>
    <row r="81" spans="1:7" x14ac:dyDescent="0.2">
      <c r="A81" s="80" t="s">
        <v>516</v>
      </c>
      <c r="B81" s="24" t="s">
        <v>214</v>
      </c>
      <c r="C81" s="24" t="s">
        <v>474</v>
      </c>
      <c r="D81" s="24" t="s">
        <v>385</v>
      </c>
      <c r="E81" s="24"/>
      <c r="F81" s="42">
        <f>F82+F84</f>
        <v>2774</v>
      </c>
      <c r="G81" s="42">
        <f>G82+G84</f>
        <v>2774</v>
      </c>
    </row>
    <row r="82" spans="1:7" x14ac:dyDescent="0.2">
      <c r="A82" s="84" t="s">
        <v>473</v>
      </c>
      <c r="B82" s="30" t="s">
        <v>214</v>
      </c>
      <c r="C82" s="30" t="s">
        <v>474</v>
      </c>
      <c r="D82" s="30" t="s">
        <v>385</v>
      </c>
      <c r="E82" s="30" t="s">
        <v>226</v>
      </c>
      <c r="F82" s="41">
        <f>F83</f>
        <v>2769</v>
      </c>
      <c r="G82" s="41">
        <f>G83</f>
        <v>2769</v>
      </c>
    </row>
    <row r="83" spans="1:7" x14ac:dyDescent="0.2">
      <c r="A83" s="84" t="s">
        <v>227</v>
      </c>
      <c r="B83" s="30" t="s">
        <v>214</v>
      </c>
      <c r="C83" s="30" t="s">
        <v>474</v>
      </c>
      <c r="D83" s="30" t="s">
        <v>385</v>
      </c>
      <c r="E83" s="30" t="s">
        <v>228</v>
      </c>
      <c r="F83" s="41">
        <v>2769</v>
      </c>
      <c r="G83" s="41">
        <v>2769</v>
      </c>
    </row>
    <row r="84" spans="1:7" x14ac:dyDescent="0.2">
      <c r="A84" s="84" t="s">
        <v>229</v>
      </c>
      <c r="B84" s="30" t="s">
        <v>214</v>
      </c>
      <c r="C84" s="30" t="s">
        <v>474</v>
      </c>
      <c r="D84" s="30" t="s">
        <v>385</v>
      </c>
      <c r="E84" s="30" t="s">
        <v>230</v>
      </c>
      <c r="F84" s="41">
        <f>F85</f>
        <v>5</v>
      </c>
      <c r="G84" s="41">
        <f>G85</f>
        <v>5</v>
      </c>
    </row>
    <row r="85" spans="1:7" x14ac:dyDescent="0.2">
      <c r="A85" s="84" t="s">
        <v>106</v>
      </c>
      <c r="B85" s="30" t="s">
        <v>214</v>
      </c>
      <c r="C85" s="30" t="s">
        <v>474</v>
      </c>
      <c r="D85" s="30" t="s">
        <v>385</v>
      </c>
      <c r="E85" s="30" t="s">
        <v>231</v>
      </c>
      <c r="F85" s="41">
        <v>5</v>
      </c>
      <c r="G85" s="41">
        <v>5</v>
      </c>
    </row>
    <row r="86" spans="1:7" x14ac:dyDescent="0.2">
      <c r="A86" s="80" t="s">
        <v>508</v>
      </c>
      <c r="B86" s="24" t="s">
        <v>214</v>
      </c>
      <c r="C86" s="24" t="s">
        <v>232</v>
      </c>
      <c r="D86" s="24"/>
      <c r="E86" s="24"/>
      <c r="F86" s="42">
        <f t="shared" ref="F86:G90" si="4">F87</f>
        <v>3000</v>
      </c>
      <c r="G86" s="42">
        <f t="shared" si="4"/>
        <v>3000</v>
      </c>
    </row>
    <row r="87" spans="1:7" x14ac:dyDescent="0.2">
      <c r="A87" s="81" t="s">
        <v>212</v>
      </c>
      <c r="B87" s="25" t="s">
        <v>214</v>
      </c>
      <c r="C87" s="25" t="s">
        <v>232</v>
      </c>
      <c r="D87" s="25" t="s">
        <v>382</v>
      </c>
      <c r="E87" s="25"/>
      <c r="F87" s="45">
        <f t="shared" si="4"/>
        <v>3000</v>
      </c>
      <c r="G87" s="45">
        <f t="shared" si="4"/>
        <v>3000</v>
      </c>
    </row>
    <row r="88" spans="1:7" x14ac:dyDescent="0.2">
      <c r="A88" s="82" t="s">
        <v>476</v>
      </c>
      <c r="B88" s="24" t="s">
        <v>214</v>
      </c>
      <c r="C88" s="24" t="s">
        <v>232</v>
      </c>
      <c r="D88" s="24" t="s">
        <v>383</v>
      </c>
      <c r="E88" s="24"/>
      <c r="F88" s="42">
        <f t="shared" si="4"/>
        <v>3000</v>
      </c>
      <c r="G88" s="42">
        <f t="shared" si="4"/>
        <v>3000</v>
      </c>
    </row>
    <row r="89" spans="1:7" x14ac:dyDescent="0.2">
      <c r="A89" s="84" t="s">
        <v>233</v>
      </c>
      <c r="B89" s="30" t="s">
        <v>214</v>
      </c>
      <c r="C89" s="30" t="s">
        <v>232</v>
      </c>
      <c r="D89" s="30" t="s">
        <v>512</v>
      </c>
      <c r="E89" s="30"/>
      <c r="F89" s="41">
        <f t="shared" si="4"/>
        <v>3000</v>
      </c>
      <c r="G89" s="41">
        <f t="shared" si="4"/>
        <v>3000</v>
      </c>
    </row>
    <row r="90" spans="1:7" x14ac:dyDescent="0.2">
      <c r="A90" s="84" t="s">
        <v>229</v>
      </c>
      <c r="B90" s="30" t="s">
        <v>214</v>
      </c>
      <c r="C90" s="30" t="s">
        <v>232</v>
      </c>
      <c r="D90" s="30" t="s">
        <v>512</v>
      </c>
      <c r="E90" s="30" t="s">
        <v>230</v>
      </c>
      <c r="F90" s="41">
        <f t="shared" si="4"/>
        <v>3000</v>
      </c>
      <c r="G90" s="41">
        <f t="shared" si="4"/>
        <v>3000</v>
      </c>
    </row>
    <row r="91" spans="1:7" x14ac:dyDescent="0.2">
      <c r="A91" s="84" t="s">
        <v>234</v>
      </c>
      <c r="B91" s="30" t="s">
        <v>214</v>
      </c>
      <c r="C91" s="30" t="s">
        <v>232</v>
      </c>
      <c r="D91" s="30" t="s">
        <v>512</v>
      </c>
      <c r="E91" s="30" t="s">
        <v>736</v>
      </c>
      <c r="F91" s="41">
        <v>3000</v>
      </c>
      <c r="G91" s="41">
        <v>3000</v>
      </c>
    </row>
    <row r="92" spans="1:7" x14ac:dyDescent="0.2">
      <c r="A92" s="80" t="s">
        <v>509</v>
      </c>
      <c r="B92" s="24" t="s">
        <v>214</v>
      </c>
      <c r="C92" s="24" t="s">
        <v>235</v>
      </c>
      <c r="D92" s="24"/>
      <c r="E92" s="24"/>
      <c r="F92" s="42">
        <f>F93+F152+F156</f>
        <v>98538</v>
      </c>
      <c r="G92" s="42">
        <f>G93+G152+G156</f>
        <v>98391</v>
      </c>
    </row>
    <row r="93" spans="1:7" ht="27" x14ac:dyDescent="0.2">
      <c r="A93" s="86" t="s">
        <v>551</v>
      </c>
      <c r="B93" s="53" t="s">
        <v>214</v>
      </c>
      <c r="C93" s="53" t="s">
        <v>235</v>
      </c>
      <c r="D93" s="59" t="s">
        <v>386</v>
      </c>
      <c r="E93" s="58"/>
      <c r="F93" s="57">
        <f>F94+F101+F129+F145</f>
        <v>37770</v>
      </c>
      <c r="G93" s="57">
        <f>G94+G101+G129+G145</f>
        <v>39343</v>
      </c>
    </row>
    <row r="94" spans="1:7" ht="40.5" x14ac:dyDescent="0.2">
      <c r="A94" s="98" t="s">
        <v>337</v>
      </c>
      <c r="B94" s="53" t="s">
        <v>214</v>
      </c>
      <c r="C94" s="53" t="s">
        <v>235</v>
      </c>
      <c r="D94" s="93" t="s">
        <v>338</v>
      </c>
      <c r="E94" s="58"/>
      <c r="F94" s="57">
        <f>F95+F98</f>
        <v>2100</v>
      </c>
      <c r="G94" s="57">
        <f>G95+G98</f>
        <v>3320</v>
      </c>
    </row>
    <row r="95" spans="1:7" ht="24" x14ac:dyDescent="0.2">
      <c r="A95" s="75" t="s">
        <v>569</v>
      </c>
      <c r="B95" s="24" t="s">
        <v>214</v>
      </c>
      <c r="C95" s="24" t="s">
        <v>235</v>
      </c>
      <c r="D95" s="43" t="s">
        <v>570</v>
      </c>
      <c r="E95" s="37"/>
      <c r="F95" s="117">
        <f>F96</f>
        <v>0</v>
      </c>
      <c r="G95" s="42">
        <f>G96</f>
        <v>989</v>
      </c>
    </row>
    <row r="96" spans="1:7" x14ac:dyDescent="0.2">
      <c r="A96" s="84" t="s">
        <v>473</v>
      </c>
      <c r="B96" s="30" t="s">
        <v>214</v>
      </c>
      <c r="C96" s="30" t="s">
        <v>235</v>
      </c>
      <c r="D96" s="40" t="s">
        <v>570</v>
      </c>
      <c r="E96" s="31">
        <v>200</v>
      </c>
      <c r="F96" s="118">
        <f>F97</f>
        <v>0</v>
      </c>
      <c r="G96" s="118">
        <f>G97</f>
        <v>989</v>
      </c>
    </row>
    <row r="97" spans="1:7" x14ac:dyDescent="0.2">
      <c r="A97" s="84" t="s">
        <v>227</v>
      </c>
      <c r="B97" s="30" t="s">
        <v>214</v>
      </c>
      <c r="C97" s="30" t="s">
        <v>235</v>
      </c>
      <c r="D97" s="40" t="s">
        <v>570</v>
      </c>
      <c r="E97" s="31">
        <v>240</v>
      </c>
      <c r="F97" s="118">
        <v>0</v>
      </c>
      <c r="G97" s="118">
        <v>989</v>
      </c>
    </row>
    <row r="98" spans="1:7" ht="24" x14ac:dyDescent="0.2">
      <c r="A98" s="75" t="s">
        <v>339</v>
      </c>
      <c r="B98" s="24" t="s">
        <v>214</v>
      </c>
      <c r="C98" s="24" t="s">
        <v>235</v>
      </c>
      <c r="D98" s="43" t="s">
        <v>279</v>
      </c>
      <c r="E98" s="37"/>
      <c r="F98" s="117">
        <f>F99</f>
        <v>2100</v>
      </c>
      <c r="G98" s="117">
        <f>G99</f>
        <v>2331</v>
      </c>
    </row>
    <row r="99" spans="1:7" x14ac:dyDescent="0.2">
      <c r="A99" s="84" t="s">
        <v>473</v>
      </c>
      <c r="B99" s="30" t="s">
        <v>214</v>
      </c>
      <c r="C99" s="30" t="s">
        <v>235</v>
      </c>
      <c r="D99" s="40" t="s">
        <v>279</v>
      </c>
      <c r="E99" s="31">
        <v>200</v>
      </c>
      <c r="F99" s="118">
        <f>F100</f>
        <v>2100</v>
      </c>
      <c r="G99" s="118">
        <f>G100</f>
        <v>2331</v>
      </c>
    </row>
    <row r="100" spans="1:7" x14ac:dyDescent="0.2">
      <c r="A100" s="84" t="s">
        <v>227</v>
      </c>
      <c r="B100" s="30" t="s">
        <v>214</v>
      </c>
      <c r="C100" s="30" t="s">
        <v>235</v>
      </c>
      <c r="D100" s="40" t="s">
        <v>279</v>
      </c>
      <c r="E100" s="31">
        <v>240</v>
      </c>
      <c r="F100" s="118">
        <v>2100</v>
      </c>
      <c r="G100" s="118">
        <v>2331</v>
      </c>
    </row>
    <row r="101" spans="1:7" ht="27" x14ac:dyDescent="0.2">
      <c r="A101" s="98" t="s">
        <v>181</v>
      </c>
      <c r="B101" s="53" t="s">
        <v>214</v>
      </c>
      <c r="C101" s="53" t="s">
        <v>235</v>
      </c>
      <c r="D101" s="93" t="s">
        <v>420</v>
      </c>
      <c r="E101" s="58"/>
      <c r="F101" s="57">
        <f>F102+F105+F108+F111+F114+F117+F120+F123+F126</f>
        <v>7762</v>
      </c>
      <c r="G101" s="57">
        <f>G102+G105+G108+G111+G114+G117+G120+G123+G126</f>
        <v>7392</v>
      </c>
    </row>
    <row r="102" spans="1:7" ht="24" x14ac:dyDescent="0.2">
      <c r="A102" s="75" t="s">
        <v>154</v>
      </c>
      <c r="B102" s="24" t="s">
        <v>214</v>
      </c>
      <c r="C102" s="24" t="s">
        <v>235</v>
      </c>
      <c r="D102" s="43" t="s">
        <v>182</v>
      </c>
      <c r="E102" s="37"/>
      <c r="F102" s="42">
        <f>F103</f>
        <v>920</v>
      </c>
      <c r="G102" s="42">
        <f>G103</f>
        <v>1195</v>
      </c>
    </row>
    <row r="103" spans="1:7" x14ac:dyDescent="0.2">
      <c r="A103" s="84" t="s">
        <v>473</v>
      </c>
      <c r="B103" s="30" t="s">
        <v>214</v>
      </c>
      <c r="C103" s="30" t="s">
        <v>235</v>
      </c>
      <c r="D103" s="40" t="s">
        <v>182</v>
      </c>
      <c r="E103" s="31">
        <v>200</v>
      </c>
      <c r="F103" s="41">
        <f>F104</f>
        <v>920</v>
      </c>
      <c r="G103" s="41">
        <f>G104</f>
        <v>1195</v>
      </c>
    </row>
    <row r="104" spans="1:7" x14ac:dyDescent="0.2">
      <c r="A104" s="84" t="s">
        <v>227</v>
      </c>
      <c r="B104" s="30" t="s">
        <v>214</v>
      </c>
      <c r="C104" s="30" t="s">
        <v>235</v>
      </c>
      <c r="D104" s="40" t="s">
        <v>182</v>
      </c>
      <c r="E104" s="31">
        <v>240</v>
      </c>
      <c r="F104" s="41">
        <f>2120-161-1039</f>
        <v>920</v>
      </c>
      <c r="G104" s="41">
        <f>2354-120-1039</f>
        <v>1195</v>
      </c>
    </row>
    <row r="105" spans="1:7" ht="24" x14ac:dyDescent="0.2">
      <c r="A105" s="75" t="s">
        <v>155</v>
      </c>
      <c r="B105" s="24" t="s">
        <v>214</v>
      </c>
      <c r="C105" s="24" t="s">
        <v>235</v>
      </c>
      <c r="D105" s="43" t="s">
        <v>183</v>
      </c>
      <c r="E105" s="31"/>
      <c r="F105" s="42">
        <f>F106</f>
        <v>536</v>
      </c>
      <c r="G105" s="42">
        <f>G106</f>
        <v>537</v>
      </c>
    </row>
    <row r="106" spans="1:7" x14ac:dyDescent="0.2">
      <c r="A106" s="84" t="s">
        <v>473</v>
      </c>
      <c r="B106" s="30" t="s">
        <v>214</v>
      </c>
      <c r="C106" s="30" t="s">
        <v>235</v>
      </c>
      <c r="D106" s="40" t="s">
        <v>183</v>
      </c>
      <c r="E106" s="31">
        <v>200</v>
      </c>
      <c r="F106" s="41">
        <f>F107</f>
        <v>536</v>
      </c>
      <c r="G106" s="41">
        <f>G107</f>
        <v>537</v>
      </c>
    </row>
    <row r="107" spans="1:7" x14ac:dyDescent="0.2">
      <c r="A107" s="84" t="s">
        <v>227</v>
      </c>
      <c r="B107" s="30" t="s">
        <v>214</v>
      </c>
      <c r="C107" s="30" t="s">
        <v>235</v>
      </c>
      <c r="D107" s="40" t="s">
        <v>183</v>
      </c>
      <c r="E107" s="31">
        <v>240</v>
      </c>
      <c r="F107" s="41">
        <f>375+161</f>
        <v>536</v>
      </c>
      <c r="G107" s="41">
        <f>417+120</f>
        <v>537</v>
      </c>
    </row>
    <row r="108" spans="1:7" s="32" customFormat="1" ht="24" x14ac:dyDescent="0.2">
      <c r="A108" s="75" t="s">
        <v>571</v>
      </c>
      <c r="B108" s="24" t="s">
        <v>214</v>
      </c>
      <c r="C108" s="24" t="s">
        <v>235</v>
      </c>
      <c r="D108" s="43" t="s">
        <v>572</v>
      </c>
      <c r="E108" s="31"/>
      <c r="F108" s="117">
        <f>F109</f>
        <v>1210</v>
      </c>
      <c r="G108" s="117">
        <f>G109</f>
        <v>0</v>
      </c>
    </row>
    <row r="109" spans="1:7" s="32" customFormat="1" x14ac:dyDescent="0.2">
      <c r="A109" s="84" t="s">
        <v>473</v>
      </c>
      <c r="B109" s="30" t="s">
        <v>214</v>
      </c>
      <c r="C109" s="30" t="s">
        <v>235</v>
      </c>
      <c r="D109" s="40" t="s">
        <v>572</v>
      </c>
      <c r="E109" s="31">
        <v>200</v>
      </c>
      <c r="F109" s="118">
        <f>F110</f>
        <v>1210</v>
      </c>
      <c r="G109" s="118">
        <f>G110</f>
        <v>0</v>
      </c>
    </row>
    <row r="110" spans="1:7" s="32" customFormat="1" x14ac:dyDescent="0.2">
      <c r="A110" s="84" t="s">
        <v>227</v>
      </c>
      <c r="B110" s="30" t="s">
        <v>214</v>
      </c>
      <c r="C110" s="30" t="s">
        <v>235</v>
      </c>
      <c r="D110" s="40" t="s">
        <v>572</v>
      </c>
      <c r="E110" s="31">
        <v>240</v>
      </c>
      <c r="F110" s="118">
        <v>1210</v>
      </c>
      <c r="G110" s="118">
        <v>0</v>
      </c>
    </row>
    <row r="111" spans="1:7" s="32" customFormat="1" ht="36" x14ac:dyDescent="0.2">
      <c r="A111" s="75" t="s">
        <v>156</v>
      </c>
      <c r="B111" s="24" t="s">
        <v>214</v>
      </c>
      <c r="C111" s="24" t="s">
        <v>235</v>
      </c>
      <c r="D111" s="43" t="s">
        <v>184</v>
      </c>
      <c r="E111" s="31"/>
      <c r="F111" s="42">
        <f>F112</f>
        <v>424</v>
      </c>
      <c r="G111" s="42">
        <f>G112</f>
        <v>471</v>
      </c>
    </row>
    <row r="112" spans="1:7" x14ac:dyDescent="0.2">
      <c r="A112" s="84" t="s">
        <v>473</v>
      </c>
      <c r="B112" s="30" t="s">
        <v>214</v>
      </c>
      <c r="C112" s="30" t="s">
        <v>235</v>
      </c>
      <c r="D112" s="40" t="s">
        <v>184</v>
      </c>
      <c r="E112" s="31">
        <v>200</v>
      </c>
      <c r="F112" s="41">
        <f>F113</f>
        <v>424</v>
      </c>
      <c r="G112" s="41">
        <f>G113</f>
        <v>471</v>
      </c>
    </row>
    <row r="113" spans="1:7" x14ac:dyDescent="0.2">
      <c r="A113" s="84" t="s">
        <v>227</v>
      </c>
      <c r="B113" s="30" t="s">
        <v>214</v>
      </c>
      <c r="C113" s="30" t="s">
        <v>235</v>
      </c>
      <c r="D113" s="40" t="s">
        <v>184</v>
      </c>
      <c r="E113" s="31">
        <v>240</v>
      </c>
      <c r="F113" s="41">
        <v>424</v>
      </c>
      <c r="G113" s="41">
        <v>471</v>
      </c>
    </row>
    <row r="114" spans="1:7" x14ac:dyDescent="0.2">
      <c r="A114" s="75" t="s">
        <v>157</v>
      </c>
      <c r="B114" s="24" t="s">
        <v>214</v>
      </c>
      <c r="C114" s="24" t="s">
        <v>235</v>
      </c>
      <c r="D114" s="43" t="s">
        <v>185</v>
      </c>
      <c r="E114" s="31"/>
      <c r="F114" s="42">
        <f>F115</f>
        <v>332</v>
      </c>
      <c r="G114" s="42">
        <f>G115</f>
        <v>369</v>
      </c>
    </row>
    <row r="115" spans="1:7" x14ac:dyDescent="0.2">
      <c r="A115" s="84" t="s">
        <v>473</v>
      </c>
      <c r="B115" s="30" t="s">
        <v>214</v>
      </c>
      <c r="C115" s="30" t="s">
        <v>235</v>
      </c>
      <c r="D115" s="40" t="s">
        <v>185</v>
      </c>
      <c r="E115" s="31">
        <v>200</v>
      </c>
      <c r="F115" s="41">
        <f>F116</f>
        <v>332</v>
      </c>
      <c r="G115" s="41">
        <f>G116</f>
        <v>369</v>
      </c>
    </row>
    <row r="116" spans="1:7" x14ac:dyDescent="0.2">
      <c r="A116" s="84" t="s">
        <v>227</v>
      </c>
      <c r="B116" s="30" t="s">
        <v>214</v>
      </c>
      <c r="C116" s="30" t="s">
        <v>235</v>
      </c>
      <c r="D116" s="40" t="s">
        <v>185</v>
      </c>
      <c r="E116" s="31">
        <v>240</v>
      </c>
      <c r="F116" s="41">
        <v>332</v>
      </c>
      <c r="G116" s="41">
        <v>369</v>
      </c>
    </row>
    <row r="117" spans="1:7" ht="24" x14ac:dyDescent="0.2">
      <c r="A117" s="75" t="s">
        <v>158</v>
      </c>
      <c r="B117" s="24" t="s">
        <v>214</v>
      </c>
      <c r="C117" s="24" t="s">
        <v>235</v>
      </c>
      <c r="D117" s="43" t="s">
        <v>186</v>
      </c>
      <c r="E117" s="31"/>
      <c r="F117" s="42">
        <f>F118</f>
        <v>876</v>
      </c>
      <c r="G117" s="42">
        <f>G118</f>
        <v>973</v>
      </c>
    </row>
    <row r="118" spans="1:7" x14ac:dyDescent="0.2">
      <c r="A118" s="84" t="s">
        <v>473</v>
      </c>
      <c r="B118" s="30" t="s">
        <v>214</v>
      </c>
      <c r="C118" s="30" t="s">
        <v>235</v>
      </c>
      <c r="D118" s="40" t="s">
        <v>186</v>
      </c>
      <c r="E118" s="31">
        <v>200</v>
      </c>
      <c r="F118" s="41">
        <f>F119</f>
        <v>876</v>
      </c>
      <c r="G118" s="41">
        <f>G119</f>
        <v>973</v>
      </c>
    </row>
    <row r="119" spans="1:7" x14ac:dyDescent="0.2">
      <c r="A119" s="84" t="s">
        <v>227</v>
      </c>
      <c r="B119" s="30" t="s">
        <v>214</v>
      </c>
      <c r="C119" s="30" t="s">
        <v>235</v>
      </c>
      <c r="D119" s="40" t="s">
        <v>186</v>
      </c>
      <c r="E119" s="31">
        <v>240</v>
      </c>
      <c r="F119" s="41">
        <v>876</v>
      </c>
      <c r="G119" s="41">
        <v>973</v>
      </c>
    </row>
    <row r="120" spans="1:7" x14ac:dyDescent="0.2">
      <c r="A120" s="75" t="s">
        <v>424</v>
      </c>
      <c r="B120" s="24" t="s">
        <v>214</v>
      </c>
      <c r="C120" s="24" t="s">
        <v>235</v>
      </c>
      <c r="D120" s="43" t="s">
        <v>187</v>
      </c>
      <c r="E120" s="31"/>
      <c r="F120" s="42">
        <f>F121</f>
        <v>1029</v>
      </c>
      <c r="G120" s="42">
        <f>G121</f>
        <v>1143</v>
      </c>
    </row>
    <row r="121" spans="1:7" x14ac:dyDescent="0.2">
      <c r="A121" s="84" t="s">
        <v>473</v>
      </c>
      <c r="B121" s="30" t="s">
        <v>214</v>
      </c>
      <c r="C121" s="30" t="s">
        <v>235</v>
      </c>
      <c r="D121" s="40" t="s">
        <v>187</v>
      </c>
      <c r="E121" s="31">
        <v>200</v>
      </c>
      <c r="F121" s="41">
        <f>F122</f>
        <v>1029</v>
      </c>
      <c r="G121" s="41">
        <f>G122</f>
        <v>1143</v>
      </c>
    </row>
    <row r="122" spans="1:7" x14ac:dyDescent="0.2">
      <c r="A122" s="84" t="s">
        <v>227</v>
      </c>
      <c r="B122" s="30" t="s">
        <v>214</v>
      </c>
      <c r="C122" s="30" t="s">
        <v>235</v>
      </c>
      <c r="D122" s="40" t="s">
        <v>187</v>
      </c>
      <c r="E122" s="31">
        <v>240</v>
      </c>
      <c r="F122" s="41">
        <v>1029</v>
      </c>
      <c r="G122" s="41">
        <v>1143</v>
      </c>
    </row>
    <row r="123" spans="1:7" x14ac:dyDescent="0.2">
      <c r="A123" s="80" t="s">
        <v>159</v>
      </c>
      <c r="B123" s="24" t="s">
        <v>214</v>
      </c>
      <c r="C123" s="24" t="s">
        <v>235</v>
      </c>
      <c r="D123" s="43" t="s">
        <v>188</v>
      </c>
      <c r="E123" s="31"/>
      <c r="F123" s="42">
        <f>F124</f>
        <v>1315</v>
      </c>
      <c r="G123" s="42">
        <f>G124</f>
        <v>1460</v>
      </c>
    </row>
    <row r="124" spans="1:7" x14ac:dyDescent="0.2">
      <c r="A124" s="84" t="s">
        <v>473</v>
      </c>
      <c r="B124" s="30" t="s">
        <v>214</v>
      </c>
      <c r="C124" s="30" t="s">
        <v>235</v>
      </c>
      <c r="D124" s="40" t="s">
        <v>188</v>
      </c>
      <c r="E124" s="31">
        <v>200</v>
      </c>
      <c r="F124" s="41">
        <f>F125</f>
        <v>1315</v>
      </c>
      <c r="G124" s="41">
        <f>G125</f>
        <v>1460</v>
      </c>
    </row>
    <row r="125" spans="1:7" s="32" customFormat="1" x14ac:dyDescent="0.2">
      <c r="A125" s="84" t="s">
        <v>227</v>
      </c>
      <c r="B125" s="30" t="s">
        <v>214</v>
      </c>
      <c r="C125" s="30" t="s">
        <v>235</v>
      </c>
      <c r="D125" s="40" t="s">
        <v>188</v>
      </c>
      <c r="E125" s="31">
        <v>240</v>
      </c>
      <c r="F125" s="41">
        <v>1315</v>
      </c>
      <c r="G125" s="41">
        <v>1460</v>
      </c>
    </row>
    <row r="126" spans="1:7" s="32" customFormat="1" ht="24" x14ac:dyDescent="0.2">
      <c r="A126" s="80" t="s">
        <v>421</v>
      </c>
      <c r="B126" s="24" t="s">
        <v>214</v>
      </c>
      <c r="C126" s="24" t="s">
        <v>235</v>
      </c>
      <c r="D126" s="43" t="s">
        <v>189</v>
      </c>
      <c r="E126" s="37"/>
      <c r="F126" s="117">
        <f>F127</f>
        <v>1120</v>
      </c>
      <c r="G126" s="117">
        <f>G127</f>
        <v>1244</v>
      </c>
    </row>
    <row r="127" spans="1:7" s="32" customFormat="1" x14ac:dyDescent="0.2">
      <c r="A127" s="84" t="s">
        <v>473</v>
      </c>
      <c r="B127" s="30" t="s">
        <v>214</v>
      </c>
      <c r="C127" s="30" t="s">
        <v>235</v>
      </c>
      <c r="D127" s="40" t="s">
        <v>189</v>
      </c>
      <c r="E127" s="31">
        <v>200</v>
      </c>
      <c r="F127" s="118">
        <f>F128</f>
        <v>1120</v>
      </c>
      <c r="G127" s="118">
        <f>G128</f>
        <v>1244</v>
      </c>
    </row>
    <row r="128" spans="1:7" s="32" customFormat="1" x14ac:dyDescent="0.2">
      <c r="A128" s="84" t="s">
        <v>227</v>
      </c>
      <c r="B128" s="30" t="s">
        <v>214</v>
      </c>
      <c r="C128" s="30" t="s">
        <v>235</v>
      </c>
      <c r="D128" s="40" t="s">
        <v>189</v>
      </c>
      <c r="E128" s="31">
        <v>240</v>
      </c>
      <c r="F128" s="118">
        <v>1120</v>
      </c>
      <c r="G128" s="118">
        <v>1244</v>
      </c>
    </row>
    <row r="129" spans="1:7" s="32" customFormat="1" ht="13.5" x14ac:dyDescent="0.2">
      <c r="A129" s="86" t="s">
        <v>160</v>
      </c>
      <c r="B129" s="53" t="s">
        <v>214</v>
      </c>
      <c r="C129" s="53" t="s">
        <v>235</v>
      </c>
      <c r="D129" s="93" t="s">
        <v>161</v>
      </c>
      <c r="E129" s="58"/>
      <c r="F129" s="57">
        <f>F130+F133+F136+F139+F142</f>
        <v>2526</v>
      </c>
      <c r="G129" s="57">
        <f>G130+G133+G136+G139+G142</f>
        <v>3249</v>
      </c>
    </row>
    <row r="130" spans="1:7" x14ac:dyDescent="0.2">
      <c r="A130" s="80" t="s">
        <v>422</v>
      </c>
      <c r="B130" s="24" t="s">
        <v>214</v>
      </c>
      <c r="C130" s="24" t="s">
        <v>235</v>
      </c>
      <c r="D130" s="24" t="s">
        <v>190</v>
      </c>
      <c r="E130" s="37"/>
      <c r="F130" s="42">
        <f>F131</f>
        <v>400</v>
      </c>
      <c r="G130" s="42">
        <f>G131</f>
        <v>444</v>
      </c>
    </row>
    <row r="131" spans="1:7" x14ac:dyDescent="0.2">
      <c r="A131" s="84" t="s">
        <v>473</v>
      </c>
      <c r="B131" s="30" t="s">
        <v>214</v>
      </c>
      <c r="C131" s="30" t="s">
        <v>235</v>
      </c>
      <c r="D131" s="40" t="s">
        <v>190</v>
      </c>
      <c r="E131" s="31">
        <v>200</v>
      </c>
      <c r="F131" s="41">
        <f>F132</f>
        <v>400</v>
      </c>
      <c r="G131" s="41">
        <f>G132</f>
        <v>444</v>
      </c>
    </row>
    <row r="132" spans="1:7" x14ac:dyDescent="0.2">
      <c r="A132" s="84" t="s">
        <v>227</v>
      </c>
      <c r="B132" s="30" t="s">
        <v>214</v>
      </c>
      <c r="C132" s="30" t="s">
        <v>235</v>
      </c>
      <c r="D132" s="40" t="s">
        <v>190</v>
      </c>
      <c r="E132" s="31">
        <v>240</v>
      </c>
      <c r="F132" s="41">
        <v>400</v>
      </c>
      <c r="G132" s="41">
        <v>444</v>
      </c>
    </row>
    <row r="133" spans="1:7" x14ac:dyDescent="0.2">
      <c r="A133" s="75" t="s">
        <v>573</v>
      </c>
      <c r="B133" s="24" t="s">
        <v>214</v>
      </c>
      <c r="C133" s="24" t="s">
        <v>235</v>
      </c>
      <c r="D133" s="24" t="s">
        <v>574</v>
      </c>
      <c r="E133" s="37"/>
      <c r="F133" s="42">
        <f>F134</f>
        <v>946</v>
      </c>
      <c r="G133" s="42">
        <f>G134</f>
        <v>1050</v>
      </c>
    </row>
    <row r="134" spans="1:7" x14ac:dyDescent="0.2">
      <c r="A134" s="84" t="s">
        <v>473</v>
      </c>
      <c r="B134" s="30" t="s">
        <v>214</v>
      </c>
      <c r="C134" s="30" t="s">
        <v>235</v>
      </c>
      <c r="D134" s="40" t="s">
        <v>574</v>
      </c>
      <c r="E134" s="31">
        <v>200</v>
      </c>
      <c r="F134" s="41">
        <f>F135</f>
        <v>946</v>
      </c>
      <c r="G134" s="41">
        <f>G135</f>
        <v>1050</v>
      </c>
    </row>
    <row r="135" spans="1:7" x14ac:dyDescent="0.2">
      <c r="A135" s="84" t="s">
        <v>227</v>
      </c>
      <c r="B135" s="30" t="s">
        <v>214</v>
      </c>
      <c r="C135" s="30" t="s">
        <v>235</v>
      </c>
      <c r="D135" s="40" t="s">
        <v>574</v>
      </c>
      <c r="E135" s="31">
        <v>240</v>
      </c>
      <c r="F135" s="41">
        <v>946</v>
      </c>
      <c r="G135" s="41">
        <v>1050</v>
      </c>
    </row>
    <row r="136" spans="1:7" ht="24" x14ac:dyDescent="0.2">
      <c r="A136" s="75" t="s">
        <v>575</v>
      </c>
      <c r="B136" s="24" t="s">
        <v>214</v>
      </c>
      <c r="C136" s="24" t="s">
        <v>235</v>
      </c>
      <c r="D136" s="24" t="s">
        <v>576</v>
      </c>
      <c r="E136" s="37"/>
      <c r="F136" s="42">
        <f>F137</f>
        <v>152</v>
      </c>
      <c r="G136" s="42">
        <f>G137</f>
        <v>169</v>
      </c>
    </row>
    <row r="137" spans="1:7" x14ac:dyDescent="0.2">
      <c r="A137" s="84" t="s">
        <v>473</v>
      </c>
      <c r="B137" s="30" t="s">
        <v>214</v>
      </c>
      <c r="C137" s="30" t="s">
        <v>235</v>
      </c>
      <c r="D137" s="40" t="s">
        <v>576</v>
      </c>
      <c r="E137" s="31">
        <v>200</v>
      </c>
      <c r="F137" s="41">
        <f>F138</f>
        <v>152</v>
      </c>
      <c r="G137" s="41">
        <f>G138</f>
        <v>169</v>
      </c>
    </row>
    <row r="138" spans="1:7" x14ac:dyDescent="0.2">
      <c r="A138" s="84" t="s">
        <v>227</v>
      </c>
      <c r="B138" s="30" t="s">
        <v>214</v>
      </c>
      <c r="C138" s="30" t="s">
        <v>235</v>
      </c>
      <c r="D138" s="40" t="s">
        <v>576</v>
      </c>
      <c r="E138" s="31">
        <v>240</v>
      </c>
      <c r="F138" s="41">
        <v>152</v>
      </c>
      <c r="G138" s="41">
        <v>169</v>
      </c>
    </row>
    <row r="139" spans="1:7" x14ac:dyDescent="0.2">
      <c r="A139" s="75" t="s">
        <v>162</v>
      </c>
      <c r="B139" s="24" t="s">
        <v>214</v>
      </c>
      <c r="C139" s="24" t="s">
        <v>235</v>
      </c>
      <c r="D139" s="24" t="s">
        <v>191</v>
      </c>
      <c r="E139" s="37"/>
      <c r="F139" s="42">
        <f>F140</f>
        <v>528</v>
      </c>
      <c r="G139" s="42">
        <f>G140</f>
        <v>586</v>
      </c>
    </row>
    <row r="140" spans="1:7" x14ac:dyDescent="0.2">
      <c r="A140" s="84" t="s">
        <v>473</v>
      </c>
      <c r="B140" s="30" t="s">
        <v>214</v>
      </c>
      <c r="C140" s="30" t="s">
        <v>235</v>
      </c>
      <c r="D140" s="40" t="s">
        <v>191</v>
      </c>
      <c r="E140" s="31">
        <v>200</v>
      </c>
      <c r="F140" s="41">
        <f>F141</f>
        <v>528</v>
      </c>
      <c r="G140" s="41">
        <f>G141</f>
        <v>586</v>
      </c>
    </row>
    <row r="141" spans="1:7" s="32" customFormat="1" x14ac:dyDescent="0.2">
      <c r="A141" s="84" t="s">
        <v>227</v>
      </c>
      <c r="B141" s="30" t="s">
        <v>214</v>
      </c>
      <c r="C141" s="30" t="s">
        <v>235</v>
      </c>
      <c r="D141" s="40" t="s">
        <v>191</v>
      </c>
      <c r="E141" s="31">
        <v>240</v>
      </c>
      <c r="F141" s="41">
        <v>528</v>
      </c>
      <c r="G141" s="41">
        <v>586</v>
      </c>
    </row>
    <row r="142" spans="1:7" s="32" customFormat="1" x14ac:dyDescent="0.2">
      <c r="A142" s="75" t="s">
        <v>163</v>
      </c>
      <c r="B142" s="24" t="s">
        <v>214</v>
      </c>
      <c r="C142" s="24" t="s">
        <v>235</v>
      </c>
      <c r="D142" s="24" t="s">
        <v>192</v>
      </c>
      <c r="E142" s="37"/>
      <c r="F142" s="117">
        <f>F143</f>
        <v>500</v>
      </c>
      <c r="G142" s="117">
        <f>G143</f>
        <v>1000</v>
      </c>
    </row>
    <row r="143" spans="1:7" s="32" customFormat="1" x14ac:dyDescent="0.2">
      <c r="A143" s="84" t="s">
        <v>473</v>
      </c>
      <c r="B143" s="30" t="s">
        <v>214</v>
      </c>
      <c r="C143" s="30" t="s">
        <v>235</v>
      </c>
      <c r="D143" s="40" t="s">
        <v>192</v>
      </c>
      <c r="E143" s="31">
        <v>200</v>
      </c>
      <c r="F143" s="118">
        <f>F144</f>
        <v>500</v>
      </c>
      <c r="G143" s="118">
        <f>G144</f>
        <v>1000</v>
      </c>
    </row>
    <row r="144" spans="1:7" s="32" customFormat="1" x14ac:dyDescent="0.2">
      <c r="A144" s="84" t="s">
        <v>227</v>
      </c>
      <c r="B144" s="30" t="s">
        <v>214</v>
      </c>
      <c r="C144" s="30" t="s">
        <v>235</v>
      </c>
      <c r="D144" s="40" t="s">
        <v>192</v>
      </c>
      <c r="E144" s="31">
        <v>240</v>
      </c>
      <c r="F144" s="118">
        <v>500</v>
      </c>
      <c r="G144" s="118">
        <v>1000</v>
      </c>
    </row>
    <row r="145" spans="1:7" s="32" customFormat="1" ht="27" x14ac:dyDescent="0.2">
      <c r="A145" s="86" t="s">
        <v>781</v>
      </c>
      <c r="B145" s="53" t="s">
        <v>214</v>
      </c>
      <c r="C145" s="53" t="s">
        <v>235</v>
      </c>
      <c r="D145" s="93" t="s">
        <v>780</v>
      </c>
      <c r="E145" s="58"/>
      <c r="F145" s="121">
        <f>F146+F149</f>
        <v>25382</v>
      </c>
      <c r="G145" s="121">
        <f>G146+G149</f>
        <v>25382</v>
      </c>
    </row>
    <row r="146" spans="1:7" s="32" customFormat="1" ht="24" x14ac:dyDescent="0.2">
      <c r="A146" s="80" t="s">
        <v>784</v>
      </c>
      <c r="B146" s="24" t="s">
        <v>214</v>
      </c>
      <c r="C146" s="24" t="s">
        <v>235</v>
      </c>
      <c r="D146" s="43" t="s">
        <v>785</v>
      </c>
      <c r="E146" s="37"/>
      <c r="F146" s="117">
        <f>F147</f>
        <v>7140</v>
      </c>
      <c r="G146" s="117">
        <f>G147</f>
        <v>7140</v>
      </c>
    </row>
    <row r="147" spans="1:7" s="32" customFormat="1" x14ac:dyDescent="0.2">
      <c r="A147" s="84" t="s">
        <v>473</v>
      </c>
      <c r="B147" s="30" t="s">
        <v>214</v>
      </c>
      <c r="C147" s="30" t="s">
        <v>235</v>
      </c>
      <c r="D147" s="40" t="s">
        <v>785</v>
      </c>
      <c r="E147" s="31">
        <v>200</v>
      </c>
      <c r="F147" s="118">
        <f>F148</f>
        <v>7140</v>
      </c>
      <c r="G147" s="118">
        <f>G148</f>
        <v>7140</v>
      </c>
    </row>
    <row r="148" spans="1:7" s="32" customFormat="1" x14ac:dyDescent="0.2">
      <c r="A148" s="84" t="s">
        <v>227</v>
      </c>
      <c r="B148" s="30" t="s">
        <v>214</v>
      </c>
      <c r="C148" s="30" t="s">
        <v>235</v>
      </c>
      <c r="D148" s="40" t="s">
        <v>785</v>
      </c>
      <c r="E148" s="31">
        <v>240</v>
      </c>
      <c r="F148" s="118">
        <v>7140</v>
      </c>
      <c r="G148" s="118">
        <v>7140</v>
      </c>
    </row>
    <row r="149" spans="1:7" s="32" customFormat="1" ht="24" x14ac:dyDescent="0.2">
      <c r="A149" s="80" t="s">
        <v>786</v>
      </c>
      <c r="B149" s="24" t="s">
        <v>214</v>
      </c>
      <c r="C149" s="24" t="s">
        <v>235</v>
      </c>
      <c r="D149" s="43" t="s">
        <v>787</v>
      </c>
      <c r="E149" s="37"/>
      <c r="F149" s="42">
        <f>F150</f>
        <v>18242</v>
      </c>
      <c r="G149" s="42">
        <f>G150</f>
        <v>18242</v>
      </c>
    </row>
    <row r="150" spans="1:7" s="32" customFormat="1" x14ac:dyDescent="0.2">
      <c r="A150" s="84" t="s">
        <v>473</v>
      </c>
      <c r="B150" s="30" t="s">
        <v>214</v>
      </c>
      <c r="C150" s="30" t="s">
        <v>235</v>
      </c>
      <c r="D150" s="40" t="s">
        <v>787</v>
      </c>
      <c r="E150" s="31">
        <v>200</v>
      </c>
      <c r="F150" s="41">
        <f>F151</f>
        <v>18242</v>
      </c>
      <c r="G150" s="41">
        <f>G151</f>
        <v>18242</v>
      </c>
    </row>
    <row r="151" spans="1:7" s="32" customFormat="1" x14ac:dyDescent="0.2">
      <c r="A151" s="84" t="s">
        <v>227</v>
      </c>
      <c r="B151" s="30" t="s">
        <v>214</v>
      </c>
      <c r="C151" s="30" t="s">
        <v>235</v>
      </c>
      <c r="D151" s="40" t="s">
        <v>787</v>
      </c>
      <c r="E151" s="31">
        <v>240</v>
      </c>
      <c r="F151" s="41">
        <f>13100+1039+4103</f>
        <v>18242</v>
      </c>
      <c r="G151" s="41">
        <f>13100+1039+4103</f>
        <v>18242</v>
      </c>
    </row>
    <row r="152" spans="1:7" s="32" customFormat="1" ht="27" x14ac:dyDescent="0.2">
      <c r="A152" s="86" t="s">
        <v>469</v>
      </c>
      <c r="B152" s="53" t="s">
        <v>214</v>
      </c>
      <c r="C152" s="53" t="s">
        <v>235</v>
      </c>
      <c r="D152" s="93" t="s">
        <v>406</v>
      </c>
      <c r="E152" s="58"/>
      <c r="F152" s="121">
        <f t="shared" ref="F152:G154" si="5">F153</f>
        <v>1720</v>
      </c>
      <c r="G152" s="121">
        <f t="shared" si="5"/>
        <v>0</v>
      </c>
    </row>
    <row r="153" spans="1:7" ht="24" x14ac:dyDescent="0.2">
      <c r="A153" s="80" t="s">
        <v>423</v>
      </c>
      <c r="B153" s="24" t="s">
        <v>214</v>
      </c>
      <c r="C153" s="24" t="s">
        <v>235</v>
      </c>
      <c r="D153" s="43" t="s">
        <v>193</v>
      </c>
      <c r="E153" s="37"/>
      <c r="F153" s="117">
        <f t="shared" si="5"/>
        <v>1720</v>
      </c>
      <c r="G153" s="117">
        <f t="shared" si="5"/>
        <v>0</v>
      </c>
    </row>
    <row r="154" spans="1:7" x14ac:dyDescent="0.2">
      <c r="A154" s="84" t="s">
        <v>473</v>
      </c>
      <c r="B154" s="30" t="s">
        <v>214</v>
      </c>
      <c r="C154" s="30" t="s">
        <v>235</v>
      </c>
      <c r="D154" s="40" t="s">
        <v>193</v>
      </c>
      <c r="E154" s="31">
        <v>200</v>
      </c>
      <c r="F154" s="118">
        <f t="shared" si="5"/>
        <v>1720</v>
      </c>
      <c r="G154" s="118">
        <f t="shared" si="5"/>
        <v>0</v>
      </c>
    </row>
    <row r="155" spans="1:7" x14ac:dyDescent="0.2">
      <c r="A155" s="84" t="s">
        <v>227</v>
      </c>
      <c r="B155" s="30" t="s">
        <v>214</v>
      </c>
      <c r="C155" s="30" t="s">
        <v>235</v>
      </c>
      <c r="D155" s="40" t="s">
        <v>193</v>
      </c>
      <c r="E155" s="31">
        <v>240</v>
      </c>
      <c r="F155" s="118">
        <v>1720</v>
      </c>
      <c r="G155" s="118">
        <v>0</v>
      </c>
    </row>
    <row r="156" spans="1:7" x14ac:dyDescent="0.2">
      <c r="A156" s="81" t="s">
        <v>212</v>
      </c>
      <c r="B156" s="25" t="s">
        <v>214</v>
      </c>
      <c r="C156" s="25" t="s">
        <v>235</v>
      </c>
      <c r="D156" s="25" t="s">
        <v>382</v>
      </c>
      <c r="E156" s="25"/>
      <c r="F156" s="45">
        <f>F157+F189</f>
        <v>59048</v>
      </c>
      <c r="G156" s="45">
        <f>G157+G189</f>
        <v>59048</v>
      </c>
    </row>
    <row r="157" spans="1:7" x14ac:dyDescent="0.2">
      <c r="A157" s="80" t="s">
        <v>476</v>
      </c>
      <c r="B157" s="24" t="s">
        <v>214</v>
      </c>
      <c r="C157" s="24" t="s">
        <v>235</v>
      </c>
      <c r="D157" s="24" t="s">
        <v>383</v>
      </c>
      <c r="E157" s="24"/>
      <c r="F157" s="42">
        <f>F158+F179+F183+F186+F176</f>
        <v>56854</v>
      </c>
      <c r="G157" s="42">
        <f>G158+G179+G183+G186+G176</f>
        <v>56854</v>
      </c>
    </row>
    <row r="158" spans="1:7" x14ac:dyDescent="0.2">
      <c r="A158" s="85" t="s">
        <v>819</v>
      </c>
      <c r="B158" s="33" t="s">
        <v>214</v>
      </c>
      <c r="C158" s="33" t="s">
        <v>235</v>
      </c>
      <c r="D158" s="33" t="s">
        <v>383</v>
      </c>
      <c r="E158" s="25"/>
      <c r="F158" s="101">
        <f>F159+F166+F173</f>
        <v>49454</v>
      </c>
      <c r="G158" s="101">
        <f>G159+G166+G173</f>
        <v>49454</v>
      </c>
    </row>
    <row r="159" spans="1:7" ht="24" x14ac:dyDescent="0.2">
      <c r="A159" s="80" t="s">
        <v>173</v>
      </c>
      <c r="B159" s="24" t="s">
        <v>214</v>
      </c>
      <c r="C159" s="24" t="s">
        <v>235</v>
      </c>
      <c r="D159" s="24" t="s">
        <v>513</v>
      </c>
      <c r="E159" s="24"/>
      <c r="F159" s="42">
        <f>F160+F162+F164</f>
        <v>41674</v>
      </c>
      <c r="G159" s="42">
        <f>G160+G162+G164</f>
        <v>41674</v>
      </c>
    </row>
    <row r="160" spans="1:7" ht="36" x14ac:dyDescent="0.2">
      <c r="A160" s="84" t="s">
        <v>217</v>
      </c>
      <c r="B160" s="30" t="s">
        <v>214</v>
      </c>
      <c r="C160" s="30" t="s">
        <v>235</v>
      </c>
      <c r="D160" s="30" t="s">
        <v>513</v>
      </c>
      <c r="E160" s="30" t="s">
        <v>218</v>
      </c>
      <c r="F160" s="41">
        <f>F161</f>
        <v>35644</v>
      </c>
      <c r="G160" s="41">
        <f>G161</f>
        <v>35644</v>
      </c>
    </row>
    <row r="161" spans="1:7" x14ac:dyDescent="0.2">
      <c r="A161" s="84" t="s">
        <v>820</v>
      </c>
      <c r="B161" s="30" t="s">
        <v>214</v>
      </c>
      <c r="C161" s="30" t="s">
        <v>235</v>
      </c>
      <c r="D161" s="30" t="s">
        <v>513</v>
      </c>
      <c r="E161" s="30" t="s">
        <v>821</v>
      </c>
      <c r="F161" s="41">
        <f>27340+8304</f>
        <v>35644</v>
      </c>
      <c r="G161" s="41">
        <f>27340+8304</f>
        <v>35644</v>
      </c>
    </row>
    <row r="162" spans="1:7" x14ac:dyDescent="0.2">
      <c r="A162" s="84" t="s">
        <v>473</v>
      </c>
      <c r="B162" s="30" t="s">
        <v>214</v>
      </c>
      <c r="C162" s="30" t="s">
        <v>235</v>
      </c>
      <c r="D162" s="30" t="s">
        <v>513</v>
      </c>
      <c r="E162" s="30" t="s">
        <v>226</v>
      </c>
      <c r="F162" s="41">
        <f>F163</f>
        <v>5780</v>
      </c>
      <c r="G162" s="41">
        <f>G163</f>
        <v>5780</v>
      </c>
    </row>
    <row r="163" spans="1:7" x14ac:dyDescent="0.2">
      <c r="A163" s="84" t="s">
        <v>227</v>
      </c>
      <c r="B163" s="30" t="s">
        <v>214</v>
      </c>
      <c r="C163" s="30" t="s">
        <v>235</v>
      </c>
      <c r="D163" s="30" t="s">
        <v>513</v>
      </c>
      <c r="E163" s="30" t="s">
        <v>228</v>
      </c>
      <c r="F163" s="41">
        <f>130+150+5500</f>
        <v>5780</v>
      </c>
      <c r="G163" s="41">
        <f>130+150+5500</f>
        <v>5780</v>
      </c>
    </row>
    <row r="164" spans="1:7" x14ac:dyDescent="0.2">
      <c r="A164" s="84" t="s">
        <v>229</v>
      </c>
      <c r="B164" s="30" t="s">
        <v>214</v>
      </c>
      <c r="C164" s="30" t="s">
        <v>235</v>
      </c>
      <c r="D164" s="30" t="s">
        <v>513</v>
      </c>
      <c r="E164" s="30" t="s">
        <v>230</v>
      </c>
      <c r="F164" s="41">
        <f>F165</f>
        <v>250</v>
      </c>
      <c r="G164" s="41">
        <f>G165</f>
        <v>250</v>
      </c>
    </row>
    <row r="165" spans="1:7" x14ac:dyDescent="0.2">
      <c r="A165" s="84" t="s">
        <v>106</v>
      </c>
      <c r="B165" s="30" t="s">
        <v>214</v>
      </c>
      <c r="C165" s="30" t="s">
        <v>235</v>
      </c>
      <c r="D165" s="30" t="s">
        <v>513</v>
      </c>
      <c r="E165" s="30" t="s">
        <v>231</v>
      </c>
      <c r="F165" s="41">
        <v>250</v>
      </c>
      <c r="G165" s="41">
        <v>250</v>
      </c>
    </row>
    <row r="166" spans="1:7" x14ac:dyDescent="0.2">
      <c r="A166" s="80" t="s">
        <v>813</v>
      </c>
      <c r="B166" s="24" t="s">
        <v>214</v>
      </c>
      <c r="C166" s="24" t="s">
        <v>235</v>
      </c>
      <c r="D166" s="24" t="s">
        <v>814</v>
      </c>
      <c r="E166" s="24"/>
      <c r="F166" s="42">
        <f>F167+F169+F171</f>
        <v>6180</v>
      </c>
      <c r="G166" s="42">
        <f>G167+G169+G171</f>
        <v>6180</v>
      </c>
    </row>
    <row r="167" spans="1:7" ht="36" x14ac:dyDescent="0.2">
      <c r="A167" s="84" t="s">
        <v>217</v>
      </c>
      <c r="B167" s="30" t="s">
        <v>214</v>
      </c>
      <c r="C167" s="30" t="s">
        <v>235</v>
      </c>
      <c r="D167" s="30" t="s">
        <v>814</v>
      </c>
      <c r="E167" s="30" t="s">
        <v>218</v>
      </c>
      <c r="F167" s="41">
        <f>F168</f>
        <v>5995</v>
      </c>
      <c r="G167" s="41">
        <f>G168</f>
        <v>5995</v>
      </c>
    </row>
    <row r="168" spans="1:7" x14ac:dyDescent="0.2">
      <c r="A168" s="84" t="s">
        <v>820</v>
      </c>
      <c r="B168" s="30" t="s">
        <v>214</v>
      </c>
      <c r="C168" s="30" t="s">
        <v>235</v>
      </c>
      <c r="D168" s="30" t="s">
        <v>814</v>
      </c>
      <c r="E168" s="30" t="s">
        <v>821</v>
      </c>
      <c r="F168" s="41">
        <f>5650+145+1700-1500</f>
        <v>5995</v>
      </c>
      <c r="G168" s="41">
        <f>5650+145+1700-1500</f>
        <v>5995</v>
      </c>
    </row>
    <row r="169" spans="1:7" x14ac:dyDescent="0.2">
      <c r="A169" s="84" t="s">
        <v>473</v>
      </c>
      <c r="B169" s="30" t="s">
        <v>214</v>
      </c>
      <c r="C169" s="30" t="s">
        <v>235</v>
      </c>
      <c r="D169" s="30" t="s">
        <v>814</v>
      </c>
      <c r="E169" s="30" t="s">
        <v>226</v>
      </c>
      <c r="F169" s="41">
        <f>F170</f>
        <v>170</v>
      </c>
      <c r="G169" s="41">
        <f>G170</f>
        <v>170</v>
      </c>
    </row>
    <row r="170" spans="1:7" x14ac:dyDescent="0.2">
      <c r="A170" s="84" t="s">
        <v>227</v>
      </c>
      <c r="B170" s="30" t="s">
        <v>214</v>
      </c>
      <c r="C170" s="30" t="s">
        <v>235</v>
      </c>
      <c r="D170" s="30" t="s">
        <v>814</v>
      </c>
      <c r="E170" s="30" t="s">
        <v>228</v>
      </c>
      <c r="F170" s="41">
        <f>270-100</f>
        <v>170</v>
      </c>
      <c r="G170" s="41">
        <f>270-100</f>
        <v>170</v>
      </c>
    </row>
    <row r="171" spans="1:7" x14ac:dyDescent="0.2">
      <c r="A171" s="84" t="s">
        <v>229</v>
      </c>
      <c r="B171" s="30" t="s">
        <v>214</v>
      </c>
      <c r="C171" s="30" t="s">
        <v>235</v>
      </c>
      <c r="D171" s="30" t="s">
        <v>814</v>
      </c>
      <c r="E171" s="30" t="s">
        <v>230</v>
      </c>
      <c r="F171" s="41">
        <f>F172</f>
        <v>15</v>
      </c>
      <c r="G171" s="41">
        <f>G172</f>
        <v>15</v>
      </c>
    </row>
    <row r="172" spans="1:7" x14ac:dyDescent="0.2">
      <c r="A172" s="84" t="s">
        <v>106</v>
      </c>
      <c r="B172" s="30" t="s">
        <v>214</v>
      </c>
      <c r="C172" s="30" t="s">
        <v>235</v>
      </c>
      <c r="D172" s="30" t="s">
        <v>814</v>
      </c>
      <c r="E172" s="30" t="s">
        <v>231</v>
      </c>
      <c r="F172" s="41">
        <v>15</v>
      </c>
      <c r="G172" s="41">
        <v>15</v>
      </c>
    </row>
    <row r="173" spans="1:7" x14ac:dyDescent="0.2">
      <c r="A173" s="80" t="s">
        <v>278</v>
      </c>
      <c r="B173" s="24" t="s">
        <v>214</v>
      </c>
      <c r="C173" s="24" t="s">
        <v>235</v>
      </c>
      <c r="D173" s="24" t="s">
        <v>523</v>
      </c>
      <c r="E173" s="24"/>
      <c r="F173" s="42">
        <f>F174</f>
        <v>1600</v>
      </c>
      <c r="G173" s="42">
        <f>G174</f>
        <v>1600</v>
      </c>
    </row>
    <row r="174" spans="1:7" ht="24" x14ac:dyDescent="0.2">
      <c r="A174" s="84" t="s">
        <v>246</v>
      </c>
      <c r="B174" s="30" t="s">
        <v>214</v>
      </c>
      <c r="C174" s="30" t="s">
        <v>235</v>
      </c>
      <c r="D174" s="30" t="s">
        <v>523</v>
      </c>
      <c r="E174" s="30" t="s">
        <v>702</v>
      </c>
      <c r="F174" s="41">
        <f>F175</f>
        <v>1600</v>
      </c>
      <c r="G174" s="41">
        <f>G175</f>
        <v>1600</v>
      </c>
    </row>
    <row r="175" spans="1:7" x14ac:dyDescent="0.2">
      <c r="A175" s="84" t="s">
        <v>247</v>
      </c>
      <c r="B175" s="30" t="s">
        <v>214</v>
      </c>
      <c r="C175" s="30" t="s">
        <v>235</v>
      </c>
      <c r="D175" s="30" t="s">
        <v>523</v>
      </c>
      <c r="E175" s="30" t="s">
        <v>724</v>
      </c>
      <c r="F175" s="41">
        <v>1600</v>
      </c>
      <c r="G175" s="41">
        <v>1600</v>
      </c>
    </row>
    <row r="176" spans="1:7" x14ac:dyDescent="0.2">
      <c r="A176" s="61" t="s">
        <v>578</v>
      </c>
      <c r="B176" s="24" t="s">
        <v>214</v>
      </c>
      <c r="C176" s="24" t="s">
        <v>235</v>
      </c>
      <c r="D176" s="24" t="s">
        <v>579</v>
      </c>
      <c r="E176" s="24"/>
      <c r="F176" s="42">
        <f>F177</f>
        <v>800</v>
      </c>
      <c r="G176" s="42">
        <f>G177</f>
        <v>800</v>
      </c>
    </row>
    <row r="177" spans="1:7" ht="36" x14ac:dyDescent="0.2">
      <c r="A177" s="84" t="s">
        <v>217</v>
      </c>
      <c r="B177" s="30" t="s">
        <v>214</v>
      </c>
      <c r="C177" s="30" t="s">
        <v>235</v>
      </c>
      <c r="D177" s="30" t="s">
        <v>579</v>
      </c>
      <c r="E177" s="30" t="s">
        <v>218</v>
      </c>
      <c r="F177" s="41">
        <f>F178</f>
        <v>800</v>
      </c>
      <c r="G177" s="41">
        <f>G178</f>
        <v>800</v>
      </c>
    </row>
    <row r="178" spans="1:7" x14ac:dyDescent="0.2">
      <c r="A178" s="84" t="s">
        <v>219</v>
      </c>
      <c r="B178" s="30" t="s">
        <v>214</v>
      </c>
      <c r="C178" s="30" t="s">
        <v>235</v>
      </c>
      <c r="D178" s="30" t="s">
        <v>579</v>
      </c>
      <c r="E178" s="30" t="s">
        <v>224</v>
      </c>
      <c r="F178" s="41">
        <v>800</v>
      </c>
      <c r="G178" s="118">
        <v>800</v>
      </c>
    </row>
    <row r="179" spans="1:7" x14ac:dyDescent="0.2">
      <c r="A179" s="80" t="s">
        <v>510</v>
      </c>
      <c r="B179" s="24" t="s">
        <v>214</v>
      </c>
      <c r="C179" s="24" t="s">
        <v>235</v>
      </c>
      <c r="D179" s="43" t="s">
        <v>147</v>
      </c>
      <c r="E179" s="24"/>
      <c r="F179" s="117">
        <f>F180</f>
        <v>4600</v>
      </c>
      <c r="G179" s="117">
        <f>G180</f>
        <v>4600</v>
      </c>
    </row>
    <row r="180" spans="1:7" x14ac:dyDescent="0.2">
      <c r="A180" s="84" t="s">
        <v>229</v>
      </c>
      <c r="B180" s="30" t="s">
        <v>214</v>
      </c>
      <c r="C180" s="30" t="s">
        <v>235</v>
      </c>
      <c r="D180" s="40" t="s">
        <v>147</v>
      </c>
      <c r="E180" s="30" t="s">
        <v>230</v>
      </c>
      <c r="F180" s="118">
        <f>F181+F182</f>
        <v>4600</v>
      </c>
      <c r="G180" s="118">
        <f>G181+G182</f>
        <v>4600</v>
      </c>
    </row>
    <row r="181" spans="1:7" x14ac:dyDescent="0.2">
      <c r="A181" s="84" t="s">
        <v>306</v>
      </c>
      <c r="B181" s="30" t="s">
        <v>214</v>
      </c>
      <c r="C181" s="30" t="s">
        <v>235</v>
      </c>
      <c r="D181" s="40" t="s">
        <v>147</v>
      </c>
      <c r="E181" s="30" t="s">
        <v>310</v>
      </c>
      <c r="F181" s="118">
        <f>2590+1000+980</f>
        <v>4570</v>
      </c>
      <c r="G181" s="118">
        <f>2590+1000+980</f>
        <v>4570</v>
      </c>
    </row>
    <row r="182" spans="1:7" x14ac:dyDescent="0.2">
      <c r="A182" s="84" t="s">
        <v>106</v>
      </c>
      <c r="B182" s="30" t="s">
        <v>214</v>
      </c>
      <c r="C182" s="30" t="s">
        <v>235</v>
      </c>
      <c r="D182" s="40" t="s">
        <v>147</v>
      </c>
      <c r="E182" s="30" t="s">
        <v>231</v>
      </c>
      <c r="F182" s="118">
        <f>10+20</f>
        <v>30</v>
      </c>
      <c r="G182" s="118">
        <f>10+20</f>
        <v>30</v>
      </c>
    </row>
    <row r="183" spans="1:7" ht="24" x14ac:dyDescent="0.2">
      <c r="A183" s="80" t="s">
        <v>493</v>
      </c>
      <c r="B183" s="24" t="s">
        <v>214</v>
      </c>
      <c r="C183" s="24" t="s">
        <v>235</v>
      </c>
      <c r="D183" s="24" t="s">
        <v>268</v>
      </c>
      <c r="E183" s="37"/>
      <c r="F183" s="42">
        <v>1000</v>
      </c>
      <c r="G183" s="42">
        <v>1000</v>
      </c>
    </row>
    <row r="184" spans="1:7" x14ac:dyDescent="0.2">
      <c r="A184" s="84" t="s">
        <v>473</v>
      </c>
      <c r="B184" s="30" t="s">
        <v>214</v>
      </c>
      <c r="C184" s="30" t="s">
        <v>235</v>
      </c>
      <c r="D184" s="30" t="s">
        <v>268</v>
      </c>
      <c r="E184" s="31">
        <v>200</v>
      </c>
      <c r="F184" s="41">
        <v>1000</v>
      </c>
      <c r="G184" s="41">
        <v>1000</v>
      </c>
    </row>
    <row r="185" spans="1:7" x14ac:dyDescent="0.2">
      <c r="A185" s="84" t="s">
        <v>227</v>
      </c>
      <c r="B185" s="30" t="s">
        <v>214</v>
      </c>
      <c r="C185" s="30" t="s">
        <v>235</v>
      </c>
      <c r="D185" s="30" t="s">
        <v>268</v>
      </c>
      <c r="E185" s="30" t="s">
        <v>228</v>
      </c>
      <c r="F185" s="41">
        <v>1000</v>
      </c>
      <c r="G185" s="41">
        <v>1000</v>
      </c>
    </row>
    <row r="186" spans="1:7" x14ac:dyDescent="0.2">
      <c r="A186" s="80" t="s">
        <v>553</v>
      </c>
      <c r="B186" s="24" t="s">
        <v>214</v>
      </c>
      <c r="C186" s="24" t="s">
        <v>235</v>
      </c>
      <c r="D186" s="24" t="s">
        <v>269</v>
      </c>
      <c r="E186" s="24"/>
      <c r="F186" s="42">
        <v>1000</v>
      </c>
      <c r="G186" s="42">
        <v>1000</v>
      </c>
    </row>
    <row r="187" spans="1:7" x14ac:dyDescent="0.2">
      <c r="A187" s="84" t="s">
        <v>473</v>
      </c>
      <c r="B187" s="30" t="s">
        <v>214</v>
      </c>
      <c r="C187" s="30" t="s">
        <v>235</v>
      </c>
      <c r="D187" s="30" t="s">
        <v>269</v>
      </c>
      <c r="E187" s="31">
        <v>200</v>
      </c>
      <c r="F187" s="41">
        <v>1000</v>
      </c>
      <c r="G187" s="41">
        <v>1000</v>
      </c>
    </row>
    <row r="188" spans="1:7" x14ac:dyDescent="0.2">
      <c r="A188" s="84" t="s">
        <v>227</v>
      </c>
      <c r="B188" s="30" t="s">
        <v>214</v>
      </c>
      <c r="C188" s="30" t="s">
        <v>235</v>
      </c>
      <c r="D188" s="30" t="s">
        <v>269</v>
      </c>
      <c r="E188" s="30" t="s">
        <v>228</v>
      </c>
      <c r="F188" s="41">
        <v>1000</v>
      </c>
      <c r="G188" s="41">
        <v>1000</v>
      </c>
    </row>
    <row r="189" spans="1:7" x14ac:dyDescent="0.2">
      <c r="A189" s="83" t="s">
        <v>146</v>
      </c>
      <c r="B189" s="25" t="s">
        <v>214</v>
      </c>
      <c r="C189" s="25" t="s">
        <v>235</v>
      </c>
      <c r="D189" s="25" t="s">
        <v>382</v>
      </c>
      <c r="E189" s="25"/>
      <c r="F189" s="45">
        <v>2194</v>
      </c>
      <c r="G189" s="45">
        <v>2194</v>
      </c>
    </row>
    <row r="190" spans="1:7" x14ac:dyDescent="0.2">
      <c r="A190" s="80" t="s">
        <v>250</v>
      </c>
      <c r="B190" s="24" t="s">
        <v>214</v>
      </c>
      <c r="C190" s="24" t="s">
        <v>235</v>
      </c>
      <c r="D190" s="24" t="s">
        <v>383</v>
      </c>
      <c r="E190" s="24"/>
      <c r="F190" s="42">
        <v>2194</v>
      </c>
      <c r="G190" s="42">
        <v>2194</v>
      </c>
    </row>
    <row r="191" spans="1:7" ht="24" x14ac:dyDescent="0.2">
      <c r="A191" s="85" t="s">
        <v>139</v>
      </c>
      <c r="B191" s="33" t="s">
        <v>214</v>
      </c>
      <c r="C191" s="33" t="s">
        <v>235</v>
      </c>
      <c r="D191" s="33" t="s">
        <v>399</v>
      </c>
      <c r="E191" s="33"/>
      <c r="F191" s="101">
        <v>2194</v>
      </c>
      <c r="G191" s="101">
        <v>2194</v>
      </c>
    </row>
    <row r="192" spans="1:7" x14ac:dyDescent="0.2">
      <c r="A192" s="82" t="s">
        <v>149</v>
      </c>
      <c r="B192" s="24" t="s">
        <v>214</v>
      </c>
      <c r="C192" s="24" t="s">
        <v>235</v>
      </c>
      <c r="D192" s="24" t="s">
        <v>399</v>
      </c>
      <c r="E192" s="24"/>
      <c r="F192" s="42">
        <v>2194</v>
      </c>
      <c r="G192" s="42">
        <v>2194</v>
      </c>
    </row>
    <row r="193" spans="1:7" ht="36" x14ac:dyDescent="0.2">
      <c r="A193" s="84" t="s">
        <v>217</v>
      </c>
      <c r="B193" s="30" t="s">
        <v>214</v>
      </c>
      <c r="C193" s="30" t="s">
        <v>235</v>
      </c>
      <c r="D193" s="30" t="s">
        <v>399</v>
      </c>
      <c r="E193" s="30" t="s">
        <v>218</v>
      </c>
      <c r="F193" s="41">
        <v>2194</v>
      </c>
      <c r="G193" s="41">
        <v>2194</v>
      </c>
    </row>
    <row r="194" spans="1:7" x14ac:dyDescent="0.2">
      <c r="A194" s="84" t="s">
        <v>219</v>
      </c>
      <c r="B194" s="30" t="s">
        <v>214</v>
      </c>
      <c r="C194" s="30" t="s">
        <v>235</v>
      </c>
      <c r="D194" s="30" t="s">
        <v>399</v>
      </c>
      <c r="E194" s="30" t="s">
        <v>224</v>
      </c>
      <c r="F194" s="41">
        <v>2194</v>
      </c>
      <c r="G194" s="41">
        <v>2194</v>
      </c>
    </row>
    <row r="195" spans="1:7" x14ac:dyDescent="0.2">
      <c r="A195" s="80" t="s">
        <v>511</v>
      </c>
      <c r="B195" s="24" t="s">
        <v>817</v>
      </c>
      <c r="C195" s="24" t="s">
        <v>215</v>
      </c>
      <c r="D195" s="24"/>
      <c r="E195" s="24"/>
      <c r="F195" s="42">
        <f t="shared" ref="F195:G197" si="6">F196</f>
        <v>4548</v>
      </c>
      <c r="G195" s="42">
        <f t="shared" si="6"/>
        <v>4548</v>
      </c>
    </row>
    <row r="196" spans="1:7" ht="24" x14ac:dyDescent="0.2">
      <c r="A196" s="80" t="s">
        <v>654</v>
      </c>
      <c r="B196" s="24" t="s">
        <v>817</v>
      </c>
      <c r="C196" s="24" t="s">
        <v>818</v>
      </c>
      <c r="D196" s="24"/>
      <c r="E196" s="24"/>
      <c r="F196" s="42">
        <f t="shared" si="6"/>
        <v>4548</v>
      </c>
      <c r="G196" s="42">
        <f t="shared" si="6"/>
        <v>4548</v>
      </c>
    </row>
    <row r="197" spans="1:7" x14ac:dyDescent="0.2">
      <c r="A197" s="83" t="s">
        <v>762</v>
      </c>
      <c r="B197" s="25" t="s">
        <v>817</v>
      </c>
      <c r="C197" s="25" t="s">
        <v>818</v>
      </c>
      <c r="D197" s="25" t="s">
        <v>382</v>
      </c>
      <c r="E197" s="25"/>
      <c r="F197" s="45">
        <f t="shared" si="6"/>
        <v>4548</v>
      </c>
      <c r="G197" s="45">
        <f t="shared" si="6"/>
        <v>4548</v>
      </c>
    </row>
    <row r="198" spans="1:7" x14ac:dyDescent="0.2">
      <c r="A198" s="80" t="s">
        <v>476</v>
      </c>
      <c r="B198" s="24" t="s">
        <v>817</v>
      </c>
      <c r="C198" s="24" t="s">
        <v>818</v>
      </c>
      <c r="D198" s="24" t="s">
        <v>383</v>
      </c>
      <c r="E198" s="24"/>
      <c r="F198" s="42">
        <f>F202+F199</f>
        <v>4548</v>
      </c>
      <c r="G198" s="42">
        <f>G202+G199</f>
        <v>4548</v>
      </c>
    </row>
    <row r="199" spans="1:7" ht="24" x14ac:dyDescent="0.2">
      <c r="A199" s="80" t="s">
        <v>277</v>
      </c>
      <c r="B199" s="24" t="s">
        <v>817</v>
      </c>
      <c r="C199" s="24" t="s">
        <v>818</v>
      </c>
      <c r="D199" s="24" t="s">
        <v>383</v>
      </c>
      <c r="E199" s="24"/>
      <c r="F199" s="42">
        <f>F200</f>
        <v>1000</v>
      </c>
      <c r="G199" s="42">
        <f>G200</f>
        <v>1000</v>
      </c>
    </row>
    <row r="200" spans="1:7" x14ac:dyDescent="0.2">
      <c r="A200" s="84" t="s">
        <v>473</v>
      </c>
      <c r="B200" s="30" t="s">
        <v>817</v>
      </c>
      <c r="C200" s="30" t="s">
        <v>818</v>
      </c>
      <c r="D200" s="30" t="s">
        <v>195</v>
      </c>
      <c r="E200" s="30" t="s">
        <v>226</v>
      </c>
      <c r="F200" s="41">
        <f>F201</f>
        <v>1000</v>
      </c>
      <c r="G200" s="41">
        <f>G201</f>
        <v>1000</v>
      </c>
    </row>
    <row r="201" spans="1:7" s="48" customFormat="1" x14ac:dyDescent="0.2">
      <c r="A201" s="84" t="s">
        <v>227</v>
      </c>
      <c r="B201" s="30" t="s">
        <v>817</v>
      </c>
      <c r="C201" s="30" t="s">
        <v>818</v>
      </c>
      <c r="D201" s="30" t="s">
        <v>195</v>
      </c>
      <c r="E201" s="30" t="s">
        <v>228</v>
      </c>
      <c r="F201" s="41">
        <v>1000</v>
      </c>
      <c r="G201" s="41">
        <v>1000</v>
      </c>
    </row>
    <row r="202" spans="1:7" s="48" customFormat="1" x14ac:dyDescent="0.2">
      <c r="A202" s="85" t="s">
        <v>819</v>
      </c>
      <c r="B202" s="33" t="s">
        <v>817</v>
      </c>
      <c r="C202" s="33" t="s">
        <v>818</v>
      </c>
      <c r="D202" s="33" t="s">
        <v>383</v>
      </c>
      <c r="E202" s="33"/>
      <c r="F202" s="101">
        <f>F203</f>
        <v>3548</v>
      </c>
      <c r="G202" s="101">
        <f>G203</f>
        <v>3548</v>
      </c>
    </row>
    <row r="203" spans="1:7" s="48" customFormat="1" x14ac:dyDescent="0.2">
      <c r="A203" s="80" t="s">
        <v>164</v>
      </c>
      <c r="B203" s="24" t="s">
        <v>817</v>
      </c>
      <c r="C203" s="24" t="s">
        <v>818</v>
      </c>
      <c r="D203" s="24" t="s">
        <v>552</v>
      </c>
      <c r="E203" s="24"/>
      <c r="F203" s="42">
        <f>F204+F206+F208</f>
        <v>3548</v>
      </c>
      <c r="G203" s="42">
        <f>G204+G206+G208</f>
        <v>3548</v>
      </c>
    </row>
    <row r="204" spans="1:7" s="48" customFormat="1" ht="36" x14ac:dyDescent="0.2">
      <c r="A204" s="84" t="s">
        <v>217</v>
      </c>
      <c r="B204" s="30" t="s">
        <v>817</v>
      </c>
      <c r="C204" s="30" t="s">
        <v>818</v>
      </c>
      <c r="D204" s="30" t="s">
        <v>552</v>
      </c>
      <c r="E204" s="30" t="s">
        <v>218</v>
      </c>
      <c r="F204" s="41">
        <f>F205</f>
        <v>3374</v>
      </c>
      <c r="G204" s="41">
        <f>G205</f>
        <v>3374</v>
      </c>
    </row>
    <row r="205" spans="1:7" s="48" customFormat="1" x14ac:dyDescent="0.2">
      <c r="A205" s="84" t="s">
        <v>820</v>
      </c>
      <c r="B205" s="30" t="s">
        <v>817</v>
      </c>
      <c r="C205" s="30" t="s">
        <v>818</v>
      </c>
      <c r="D205" s="30" t="s">
        <v>552</v>
      </c>
      <c r="E205" s="30" t="s">
        <v>821</v>
      </c>
      <c r="F205" s="41">
        <f>2550+54+770</f>
        <v>3374</v>
      </c>
      <c r="G205" s="41">
        <f>2550+54+770</f>
        <v>3374</v>
      </c>
    </row>
    <row r="206" spans="1:7" x14ac:dyDescent="0.2">
      <c r="A206" s="84" t="s">
        <v>473</v>
      </c>
      <c r="B206" s="30" t="s">
        <v>817</v>
      </c>
      <c r="C206" s="30" t="s">
        <v>818</v>
      </c>
      <c r="D206" s="30" t="s">
        <v>552</v>
      </c>
      <c r="E206" s="30" t="s">
        <v>226</v>
      </c>
      <c r="F206" s="41">
        <f>F207</f>
        <v>171</v>
      </c>
      <c r="G206" s="41">
        <f>G207</f>
        <v>171</v>
      </c>
    </row>
    <row r="207" spans="1:7" x14ac:dyDescent="0.2">
      <c r="A207" s="84" t="s">
        <v>227</v>
      </c>
      <c r="B207" s="30" t="s">
        <v>817</v>
      </c>
      <c r="C207" s="30" t="s">
        <v>818</v>
      </c>
      <c r="D207" s="30" t="s">
        <v>552</v>
      </c>
      <c r="E207" s="30" t="s">
        <v>228</v>
      </c>
      <c r="F207" s="41">
        <v>171</v>
      </c>
      <c r="G207" s="41">
        <v>171</v>
      </c>
    </row>
    <row r="208" spans="1:7" x14ac:dyDescent="0.2">
      <c r="A208" s="84" t="s">
        <v>229</v>
      </c>
      <c r="B208" s="30" t="s">
        <v>817</v>
      </c>
      <c r="C208" s="30" t="s">
        <v>818</v>
      </c>
      <c r="D208" s="30" t="s">
        <v>552</v>
      </c>
      <c r="E208" s="30" t="s">
        <v>230</v>
      </c>
      <c r="F208" s="41">
        <f>F209</f>
        <v>3</v>
      </c>
      <c r="G208" s="41">
        <f>G209</f>
        <v>3</v>
      </c>
    </row>
    <row r="209" spans="1:7" x14ac:dyDescent="0.2">
      <c r="A209" s="84" t="s">
        <v>311</v>
      </c>
      <c r="B209" s="30" t="s">
        <v>817</v>
      </c>
      <c r="C209" s="30" t="s">
        <v>818</v>
      </c>
      <c r="D209" s="30" t="s">
        <v>552</v>
      </c>
      <c r="E209" s="30" t="s">
        <v>231</v>
      </c>
      <c r="F209" s="41">
        <v>3</v>
      </c>
      <c r="G209" s="41">
        <v>3</v>
      </c>
    </row>
    <row r="210" spans="1:7" x14ac:dyDescent="0.2">
      <c r="A210" s="80" t="s">
        <v>655</v>
      </c>
      <c r="B210" s="24" t="s">
        <v>216</v>
      </c>
      <c r="C210" s="24" t="s">
        <v>215</v>
      </c>
      <c r="D210" s="24"/>
      <c r="E210" s="24"/>
      <c r="F210" s="42">
        <f>F211+F220+F238+F265</f>
        <v>295263.59999999998</v>
      </c>
      <c r="G210" s="42">
        <f>G211+G220+G238+G265</f>
        <v>181155.59999999998</v>
      </c>
    </row>
    <row r="211" spans="1:7" x14ac:dyDescent="0.2">
      <c r="A211" s="80" t="s">
        <v>665</v>
      </c>
      <c r="B211" s="24" t="s">
        <v>216</v>
      </c>
      <c r="C211" s="24" t="s">
        <v>824</v>
      </c>
      <c r="D211" s="24"/>
      <c r="E211" s="24"/>
      <c r="F211" s="42">
        <f>F212</f>
        <v>6000</v>
      </c>
      <c r="G211" s="42">
        <f>G212</f>
        <v>6000</v>
      </c>
    </row>
    <row r="212" spans="1:7" ht="27" x14ac:dyDescent="0.2">
      <c r="A212" s="86" t="s">
        <v>439</v>
      </c>
      <c r="B212" s="53" t="s">
        <v>216</v>
      </c>
      <c r="C212" s="53" t="s">
        <v>824</v>
      </c>
      <c r="D212" s="93" t="s">
        <v>425</v>
      </c>
      <c r="E212" s="53"/>
      <c r="F212" s="57">
        <f>F213</f>
        <v>6000</v>
      </c>
      <c r="G212" s="57">
        <f>G213</f>
        <v>6000</v>
      </c>
    </row>
    <row r="213" spans="1:7" x14ac:dyDescent="0.2">
      <c r="A213" s="80" t="s">
        <v>430</v>
      </c>
      <c r="B213" s="24" t="s">
        <v>216</v>
      </c>
      <c r="C213" s="24" t="s">
        <v>824</v>
      </c>
      <c r="D213" s="24" t="s">
        <v>63</v>
      </c>
      <c r="E213" s="24"/>
      <c r="F213" s="42">
        <f>F214+F216+F218</f>
        <v>6000</v>
      </c>
      <c r="G213" s="42">
        <f>G214+G216+G218</f>
        <v>6000</v>
      </c>
    </row>
    <row r="214" spans="1:7" ht="36" x14ac:dyDescent="0.2">
      <c r="A214" s="84" t="s">
        <v>217</v>
      </c>
      <c r="B214" s="30" t="s">
        <v>216</v>
      </c>
      <c r="C214" s="30" t="s">
        <v>824</v>
      </c>
      <c r="D214" s="30" t="s">
        <v>63</v>
      </c>
      <c r="E214" s="30" t="s">
        <v>218</v>
      </c>
      <c r="F214" s="41">
        <f>F215</f>
        <v>5041</v>
      </c>
      <c r="G214" s="41">
        <f>G215</f>
        <v>5041</v>
      </c>
    </row>
    <row r="215" spans="1:7" x14ac:dyDescent="0.2">
      <c r="A215" s="84" t="s">
        <v>820</v>
      </c>
      <c r="B215" s="30" t="s">
        <v>216</v>
      </c>
      <c r="C215" s="30" t="s">
        <v>824</v>
      </c>
      <c r="D215" s="30" t="s">
        <v>63</v>
      </c>
      <c r="E215" s="30" t="s">
        <v>821</v>
      </c>
      <c r="F215" s="41">
        <f>3872+1169</f>
        <v>5041</v>
      </c>
      <c r="G215" s="41">
        <f>3872+1169</f>
        <v>5041</v>
      </c>
    </row>
    <row r="216" spans="1:7" x14ac:dyDescent="0.2">
      <c r="A216" s="84" t="s">
        <v>473</v>
      </c>
      <c r="B216" s="30" t="s">
        <v>216</v>
      </c>
      <c r="C216" s="30" t="s">
        <v>824</v>
      </c>
      <c r="D216" s="30" t="s">
        <v>63</v>
      </c>
      <c r="E216" s="30" t="s">
        <v>226</v>
      </c>
      <c r="F216" s="41">
        <f>F217</f>
        <v>934</v>
      </c>
      <c r="G216" s="41">
        <f>G217</f>
        <v>934</v>
      </c>
    </row>
    <row r="217" spans="1:7" x14ac:dyDescent="0.2">
      <c r="A217" s="84" t="s">
        <v>227</v>
      </c>
      <c r="B217" s="30" t="s">
        <v>216</v>
      </c>
      <c r="C217" s="30" t="s">
        <v>824</v>
      </c>
      <c r="D217" s="30" t="s">
        <v>63</v>
      </c>
      <c r="E217" s="30" t="s">
        <v>228</v>
      </c>
      <c r="F217" s="41">
        <v>934</v>
      </c>
      <c r="G217" s="41">
        <v>934</v>
      </c>
    </row>
    <row r="218" spans="1:7" x14ac:dyDescent="0.2">
      <c r="A218" s="84" t="s">
        <v>229</v>
      </c>
      <c r="B218" s="30" t="s">
        <v>216</v>
      </c>
      <c r="C218" s="30" t="s">
        <v>824</v>
      </c>
      <c r="D218" s="30" t="s">
        <v>63</v>
      </c>
      <c r="E218" s="30" t="s">
        <v>230</v>
      </c>
      <c r="F218" s="41">
        <f>F219</f>
        <v>25</v>
      </c>
      <c r="G218" s="41">
        <f>G219</f>
        <v>25</v>
      </c>
    </row>
    <row r="219" spans="1:7" x14ac:dyDescent="0.2">
      <c r="A219" s="84" t="s">
        <v>311</v>
      </c>
      <c r="B219" s="30" t="s">
        <v>216</v>
      </c>
      <c r="C219" s="30" t="s">
        <v>824</v>
      </c>
      <c r="D219" s="30" t="s">
        <v>63</v>
      </c>
      <c r="E219" s="30" t="s">
        <v>231</v>
      </c>
      <c r="F219" s="41">
        <v>25</v>
      </c>
      <c r="G219" s="41">
        <v>25</v>
      </c>
    </row>
    <row r="220" spans="1:7" x14ac:dyDescent="0.2">
      <c r="A220" s="80" t="s">
        <v>666</v>
      </c>
      <c r="B220" s="24" t="s">
        <v>216</v>
      </c>
      <c r="C220" s="24" t="s">
        <v>822</v>
      </c>
      <c r="D220" s="24"/>
      <c r="E220" s="24"/>
      <c r="F220" s="42">
        <f>F221</f>
        <v>65714.5</v>
      </c>
      <c r="G220" s="42">
        <f>G221</f>
        <v>65714.5</v>
      </c>
    </row>
    <row r="221" spans="1:7" ht="27" x14ac:dyDescent="0.2">
      <c r="A221" s="86" t="s">
        <v>48</v>
      </c>
      <c r="B221" s="53" t="s">
        <v>216</v>
      </c>
      <c r="C221" s="53" t="s">
        <v>822</v>
      </c>
      <c r="D221" s="53" t="s">
        <v>404</v>
      </c>
      <c r="E221" s="53"/>
      <c r="F221" s="57">
        <f>F222+F231</f>
        <v>65714.5</v>
      </c>
      <c r="G221" s="57">
        <f>G222+G231</f>
        <v>65714.5</v>
      </c>
    </row>
    <row r="222" spans="1:7" ht="24" x14ac:dyDescent="0.2">
      <c r="A222" s="80" t="s">
        <v>241</v>
      </c>
      <c r="B222" s="24" t="s">
        <v>216</v>
      </c>
      <c r="C222" s="24" t="s">
        <v>822</v>
      </c>
      <c r="D222" s="24" t="s">
        <v>405</v>
      </c>
      <c r="E222" s="24"/>
      <c r="F222" s="42">
        <f>F223+F226</f>
        <v>5014.5</v>
      </c>
      <c r="G222" s="42">
        <f>G223+G226</f>
        <v>5014.5</v>
      </c>
    </row>
    <row r="223" spans="1:7" x14ac:dyDescent="0.2">
      <c r="A223" s="82" t="s">
        <v>475</v>
      </c>
      <c r="B223" s="24" t="s">
        <v>216</v>
      </c>
      <c r="C223" s="24" t="s">
        <v>822</v>
      </c>
      <c r="D223" s="24" t="s">
        <v>525</v>
      </c>
      <c r="E223" s="24"/>
      <c r="F223" s="42">
        <f>F224</f>
        <v>4824.5</v>
      </c>
      <c r="G223" s="42">
        <f>G224</f>
        <v>4824.5</v>
      </c>
    </row>
    <row r="224" spans="1:7" ht="36" x14ac:dyDescent="0.2">
      <c r="A224" s="84" t="s">
        <v>217</v>
      </c>
      <c r="B224" s="30" t="s">
        <v>216</v>
      </c>
      <c r="C224" s="30" t="s">
        <v>822</v>
      </c>
      <c r="D224" s="30" t="s">
        <v>525</v>
      </c>
      <c r="E224" s="30" t="s">
        <v>218</v>
      </c>
      <c r="F224" s="41">
        <f>F225</f>
        <v>4824.5</v>
      </c>
      <c r="G224" s="41">
        <f>G225</f>
        <v>4824.5</v>
      </c>
    </row>
    <row r="225" spans="1:7" x14ac:dyDescent="0.2">
      <c r="A225" s="84" t="s">
        <v>219</v>
      </c>
      <c r="B225" s="30" t="s">
        <v>216</v>
      </c>
      <c r="C225" s="30" t="s">
        <v>822</v>
      </c>
      <c r="D225" s="30" t="s">
        <v>525</v>
      </c>
      <c r="E225" s="30" t="s">
        <v>224</v>
      </c>
      <c r="F225" s="41">
        <f>3705.5+1119</f>
        <v>4824.5</v>
      </c>
      <c r="G225" s="41">
        <f>3705.5+1119</f>
        <v>4824.5</v>
      </c>
    </row>
    <row r="226" spans="1:7" x14ac:dyDescent="0.2">
      <c r="A226" s="80" t="s">
        <v>225</v>
      </c>
      <c r="B226" s="24" t="s">
        <v>216</v>
      </c>
      <c r="C226" s="24" t="s">
        <v>822</v>
      </c>
      <c r="D226" s="24" t="s">
        <v>526</v>
      </c>
      <c r="E226" s="24"/>
      <c r="F226" s="42">
        <f>F227+F229</f>
        <v>190</v>
      </c>
      <c r="G226" s="42">
        <f>G227+G229</f>
        <v>190</v>
      </c>
    </row>
    <row r="227" spans="1:7" x14ac:dyDescent="0.2">
      <c r="A227" s="84" t="s">
        <v>473</v>
      </c>
      <c r="B227" s="30" t="s">
        <v>216</v>
      </c>
      <c r="C227" s="30" t="s">
        <v>822</v>
      </c>
      <c r="D227" s="30" t="s">
        <v>526</v>
      </c>
      <c r="E227" s="30" t="s">
        <v>226</v>
      </c>
      <c r="F227" s="41">
        <f>F228</f>
        <v>187</v>
      </c>
      <c r="G227" s="41">
        <f>G228</f>
        <v>187</v>
      </c>
    </row>
    <row r="228" spans="1:7" x14ac:dyDescent="0.2">
      <c r="A228" s="84" t="s">
        <v>227</v>
      </c>
      <c r="B228" s="30" t="s">
        <v>216</v>
      </c>
      <c r="C228" s="30" t="s">
        <v>822</v>
      </c>
      <c r="D228" s="30" t="s">
        <v>526</v>
      </c>
      <c r="E228" s="30" t="s">
        <v>228</v>
      </c>
      <c r="F228" s="41">
        <v>187</v>
      </c>
      <c r="G228" s="41">
        <v>187</v>
      </c>
    </row>
    <row r="229" spans="1:7" x14ac:dyDescent="0.2">
      <c r="A229" s="84" t="s">
        <v>229</v>
      </c>
      <c r="B229" s="30" t="s">
        <v>216</v>
      </c>
      <c r="C229" s="30" t="s">
        <v>822</v>
      </c>
      <c r="D229" s="30" t="s">
        <v>526</v>
      </c>
      <c r="E229" s="30" t="s">
        <v>230</v>
      </c>
      <c r="F229" s="41">
        <f>F230</f>
        <v>3</v>
      </c>
      <c r="G229" s="41">
        <f>G230</f>
        <v>3</v>
      </c>
    </row>
    <row r="230" spans="1:7" x14ac:dyDescent="0.2">
      <c r="A230" s="84" t="s">
        <v>311</v>
      </c>
      <c r="B230" s="30" t="s">
        <v>216</v>
      </c>
      <c r="C230" s="30" t="s">
        <v>822</v>
      </c>
      <c r="D230" s="30" t="s">
        <v>526</v>
      </c>
      <c r="E230" s="30" t="s">
        <v>231</v>
      </c>
      <c r="F230" s="41">
        <v>3</v>
      </c>
      <c r="G230" s="41">
        <v>3</v>
      </c>
    </row>
    <row r="231" spans="1:7" x14ac:dyDescent="0.2">
      <c r="A231" s="75" t="s">
        <v>527</v>
      </c>
      <c r="B231" s="24" t="s">
        <v>216</v>
      </c>
      <c r="C231" s="24" t="s">
        <v>822</v>
      </c>
      <c r="D231" s="43" t="s">
        <v>528</v>
      </c>
      <c r="E231" s="25"/>
      <c r="F231" s="42">
        <f>F232+F235</f>
        <v>60700</v>
      </c>
      <c r="G231" s="42">
        <f>G232+G235</f>
        <v>60700</v>
      </c>
    </row>
    <row r="232" spans="1:7" ht="24" x14ac:dyDescent="0.2">
      <c r="A232" s="123" t="s">
        <v>529</v>
      </c>
      <c r="B232" s="25" t="s">
        <v>216</v>
      </c>
      <c r="C232" s="25" t="s">
        <v>822</v>
      </c>
      <c r="D232" s="54" t="s">
        <v>49</v>
      </c>
      <c r="E232" s="25"/>
      <c r="F232" s="45">
        <f>F233</f>
        <v>60000</v>
      </c>
      <c r="G232" s="45">
        <f>G233</f>
        <v>60000</v>
      </c>
    </row>
    <row r="233" spans="1:7" x14ac:dyDescent="0.2">
      <c r="A233" s="84" t="s">
        <v>229</v>
      </c>
      <c r="B233" s="30" t="s">
        <v>216</v>
      </c>
      <c r="C233" s="30" t="s">
        <v>822</v>
      </c>
      <c r="D233" s="40" t="s">
        <v>49</v>
      </c>
      <c r="E233" s="30" t="s">
        <v>230</v>
      </c>
      <c r="F233" s="41">
        <f>F234</f>
        <v>60000</v>
      </c>
      <c r="G233" s="41">
        <f>G234</f>
        <v>60000</v>
      </c>
    </row>
    <row r="234" spans="1:7" ht="24" x14ac:dyDescent="0.2">
      <c r="A234" s="84" t="s">
        <v>105</v>
      </c>
      <c r="B234" s="30" t="s">
        <v>216</v>
      </c>
      <c r="C234" s="30" t="s">
        <v>822</v>
      </c>
      <c r="D234" s="40" t="s">
        <v>49</v>
      </c>
      <c r="E234" s="30" t="s">
        <v>729</v>
      </c>
      <c r="F234" s="41">
        <v>60000</v>
      </c>
      <c r="G234" s="41">
        <v>60000</v>
      </c>
    </row>
    <row r="235" spans="1:7" ht="36" x14ac:dyDescent="0.2">
      <c r="A235" s="83" t="s">
        <v>150</v>
      </c>
      <c r="B235" s="25" t="s">
        <v>216</v>
      </c>
      <c r="C235" s="25" t="s">
        <v>822</v>
      </c>
      <c r="D235" s="54" t="s">
        <v>530</v>
      </c>
      <c r="E235" s="25"/>
      <c r="F235" s="45">
        <f>F236</f>
        <v>700</v>
      </c>
      <c r="G235" s="45">
        <f>G236</f>
        <v>700</v>
      </c>
    </row>
    <row r="236" spans="1:7" x14ac:dyDescent="0.2">
      <c r="A236" s="84" t="s">
        <v>322</v>
      </c>
      <c r="B236" s="30" t="s">
        <v>216</v>
      </c>
      <c r="C236" s="30" t="s">
        <v>822</v>
      </c>
      <c r="D236" s="40" t="s">
        <v>530</v>
      </c>
      <c r="E236" s="30" t="s">
        <v>226</v>
      </c>
      <c r="F236" s="41">
        <f>F237</f>
        <v>700</v>
      </c>
      <c r="G236" s="41">
        <f>G237</f>
        <v>700</v>
      </c>
    </row>
    <row r="237" spans="1:7" x14ac:dyDescent="0.2">
      <c r="A237" s="84" t="s">
        <v>227</v>
      </c>
      <c r="B237" s="30" t="s">
        <v>216</v>
      </c>
      <c r="C237" s="30" t="s">
        <v>822</v>
      </c>
      <c r="D237" s="40" t="s">
        <v>530</v>
      </c>
      <c r="E237" s="30" t="s">
        <v>228</v>
      </c>
      <c r="F237" s="41">
        <v>700</v>
      </c>
      <c r="G237" s="41">
        <v>700</v>
      </c>
    </row>
    <row r="238" spans="1:7" x14ac:dyDescent="0.2">
      <c r="A238" s="80" t="s">
        <v>690</v>
      </c>
      <c r="B238" s="24" t="s">
        <v>216</v>
      </c>
      <c r="C238" s="24" t="s">
        <v>818</v>
      </c>
      <c r="D238" s="40"/>
      <c r="E238" s="30"/>
      <c r="F238" s="42">
        <f>F239</f>
        <v>198549.09999999998</v>
      </c>
      <c r="G238" s="42">
        <f>G239</f>
        <v>79441.099999999991</v>
      </c>
    </row>
    <row r="239" spans="1:7" ht="27" x14ac:dyDescent="0.2">
      <c r="A239" s="86" t="s">
        <v>48</v>
      </c>
      <c r="B239" s="53" t="s">
        <v>216</v>
      </c>
      <c r="C239" s="53" t="s">
        <v>818</v>
      </c>
      <c r="D239" s="53" t="s">
        <v>404</v>
      </c>
      <c r="E239" s="53"/>
      <c r="F239" s="57">
        <f>F240+F253</f>
        <v>198549.09999999998</v>
      </c>
      <c r="G239" s="57">
        <f>G240+G253</f>
        <v>79441.099999999991</v>
      </c>
    </row>
    <row r="240" spans="1:7" ht="24" x14ac:dyDescent="0.2">
      <c r="A240" s="75" t="s">
        <v>531</v>
      </c>
      <c r="B240" s="24" t="s">
        <v>216</v>
      </c>
      <c r="C240" s="24" t="s">
        <v>818</v>
      </c>
      <c r="D240" s="43" t="s">
        <v>532</v>
      </c>
      <c r="E240" s="24"/>
      <c r="F240" s="42">
        <f>F241+F244+F247+F250</f>
        <v>181910.8</v>
      </c>
      <c r="G240" s="42">
        <f>G241+G244+G247+G250</f>
        <v>62802.799999999996</v>
      </c>
    </row>
    <row r="241" spans="1:7" ht="24" x14ac:dyDescent="0.2">
      <c r="A241" s="83" t="s">
        <v>407</v>
      </c>
      <c r="B241" s="30" t="s">
        <v>216</v>
      </c>
      <c r="C241" s="30" t="s">
        <v>818</v>
      </c>
      <c r="D241" s="25" t="s">
        <v>50</v>
      </c>
      <c r="E241" s="25"/>
      <c r="F241" s="45">
        <f>F242</f>
        <v>19534</v>
      </c>
      <c r="G241" s="45">
        <f>G242</f>
        <v>20992</v>
      </c>
    </row>
    <row r="242" spans="1:7" x14ac:dyDescent="0.2">
      <c r="A242" s="84" t="s">
        <v>473</v>
      </c>
      <c r="B242" s="30" t="s">
        <v>216</v>
      </c>
      <c r="C242" s="30" t="s">
        <v>818</v>
      </c>
      <c r="D242" s="30" t="s">
        <v>50</v>
      </c>
      <c r="E242" s="30" t="s">
        <v>226</v>
      </c>
      <c r="F242" s="41">
        <f>F243</f>
        <v>19534</v>
      </c>
      <c r="G242" s="41">
        <f>G243</f>
        <v>20992</v>
      </c>
    </row>
    <row r="243" spans="1:7" x14ac:dyDescent="0.2">
      <c r="A243" s="84" t="s">
        <v>227</v>
      </c>
      <c r="B243" s="30" t="s">
        <v>216</v>
      </c>
      <c r="C243" s="30" t="s">
        <v>818</v>
      </c>
      <c r="D243" s="30" t="s">
        <v>50</v>
      </c>
      <c r="E243" s="30" t="s">
        <v>228</v>
      </c>
      <c r="F243" s="41">
        <v>19534</v>
      </c>
      <c r="G243" s="41">
        <v>20992</v>
      </c>
    </row>
    <row r="244" spans="1:7" ht="24" x14ac:dyDescent="0.2">
      <c r="A244" s="83" t="s">
        <v>170</v>
      </c>
      <c r="B244" s="25" t="s">
        <v>216</v>
      </c>
      <c r="C244" s="25" t="s">
        <v>818</v>
      </c>
      <c r="D244" s="25" t="s">
        <v>165</v>
      </c>
      <c r="E244" s="25"/>
      <c r="F244" s="122">
        <f>F245</f>
        <v>151753.79999999999</v>
      </c>
      <c r="G244" s="122">
        <f>G245</f>
        <v>39075.599999999999</v>
      </c>
    </row>
    <row r="245" spans="1:7" x14ac:dyDescent="0.2">
      <c r="A245" s="84" t="s">
        <v>322</v>
      </c>
      <c r="B245" s="30" t="s">
        <v>216</v>
      </c>
      <c r="C245" s="30" t="s">
        <v>818</v>
      </c>
      <c r="D245" s="30" t="s">
        <v>165</v>
      </c>
      <c r="E245" s="30" t="s">
        <v>226</v>
      </c>
      <c r="F245" s="118">
        <f>F246</f>
        <v>151753.79999999999</v>
      </c>
      <c r="G245" s="118">
        <f>G246</f>
        <v>39075.599999999999</v>
      </c>
    </row>
    <row r="246" spans="1:7" x14ac:dyDescent="0.2">
      <c r="A246" s="84" t="s">
        <v>227</v>
      </c>
      <c r="B246" s="30" t="s">
        <v>216</v>
      </c>
      <c r="C246" s="30" t="s">
        <v>818</v>
      </c>
      <c r="D246" s="30" t="s">
        <v>165</v>
      </c>
      <c r="E246" s="30" t="s">
        <v>228</v>
      </c>
      <c r="F246" s="118">
        <v>151753.79999999999</v>
      </c>
      <c r="G246" s="118">
        <v>39075.599999999999</v>
      </c>
    </row>
    <row r="247" spans="1:7" ht="24" x14ac:dyDescent="0.2">
      <c r="A247" s="83" t="s">
        <v>408</v>
      </c>
      <c r="B247" s="25" t="s">
        <v>216</v>
      </c>
      <c r="C247" s="25" t="s">
        <v>818</v>
      </c>
      <c r="D247" s="25" t="s">
        <v>166</v>
      </c>
      <c r="E247" s="25"/>
      <c r="F247" s="45">
        <f>F248</f>
        <v>10623</v>
      </c>
      <c r="G247" s="45">
        <f>G248</f>
        <v>2735.2</v>
      </c>
    </row>
    <row r="248" spans="1:7" x14ac:dyDescent="0.2">
      <c r="A248" s="84" t="s">
        <v>473</v>
      </c>
      <c r="B248" s="30" t="s">
        <v>216</v>
      </c>
      <c r="C248" s="30" t="s">
        <v>818</v>
      </c>
      <c r="D248" s="30" t="s">
        <v>166</v>
      </c>
      <c r="E248" s="30" t="s">
        <v>226</v>
      </c>
      <c r="F248" s="41">
        <f>F249</f>
        <v>10623</v>
      </c>
      <c r="G248" s="41">
        <f>G249</f>
        <v>2735.2</v>
      </c>
    </row>
    <row r="249" spans="1:7" x14ac:dyDescent="0.2">
      <c r="A249" s="84" t="s">
        <v>227</v>
      </c>
      <c r="B249" s="30" t="s">
        <v>216</v>
      </c>
      <c r="C249" s="30" t="s">
        <v>818</v>
      </c>
      <c r="D249" s="30" t="s">
        <v>166</v>
      </c>
      <c r="E249" s="30" t="s">
        <v>228</v>
      </c>
      <c r="F249" s="41">
        <v>10623</v>
      </c>
      <c r="G249" s="41">
        <v>2735.2</v>
      </c>
    </row>
    <row r="250" spans="1:7" x14ac:dyDescent="0.2">
      <c r="A250" s="83" t="s">
        <v>580</v>
      </c>
      <c r="B250" s="25" t="s">
        <v>216</v>
      </c>
      <c r="C250" s="25" t="s">
        <v>818</v>
      </c>
      <c r="D250" s="25" t="s">
        <v>581</v>
      </c>
      <c r="E250" s="25"/>
      <c r="F250" s="122">
        <f>F251</f>
        <v>0</v>
      </c>
      <c r="G250" s="122">
        <f>G251</f>
        <v>0</v>
      </c>
    </row>
    <row r="251" spans="1:7" x14ac:dyDescent="0.2">
      <c r="A251" s="84" t="s">
        <v>473</v>
      </c>
      <c r="B251" s="30" t="s">
        <v>216</v>
      </c>
      <c r="C251" s="30" t="s">
        <v>818</v>
      </c>
      <c r="D251" s="30" t="s">
        <v>581</v>
      </c>
      <c r="E251" s="30" t="s">
        <v>226</v>
      </c>
      <c r="F251" s="118">
        <f>F252</f>
        <v>0</v>
      </c>
      <c r="G251" s="118">
        <f>G252</f>
        <v>0</v>
      </c>
    </row>
    <row r="252" spans="1:7" x14ac:dyDescent="0.2">
      <c r="A252" s="84" t="s">
        <v>227</v>
      </c>
      <c r="B252" s="30" t="s">
        <v>216</v>
      </c>
      <c r="C252" s="30" t="s">
        <v>818</v>
      </c>
      <c r="D252" s="30" t="s">
        <v>581</v>
      </c>
      <c r="E252" s="30" t="s">
        <v>228</v>
      </c>
      <c r="F252" s="118">
        <f>10000-10000</f>
        <v>0</v>
      </c>
      <c r="G252" s="118">
        <v>0</v>
      </c>
    </row>
    <row r="253" spans="1:7" x14ac:dyDescent="0.2">
      <c r="A253" s="80" t="s">
        <v>763</v>
      </c>
      <c r="B253" s="24" t="s">
        <v>216</v>
      </c>
      <c r="C253" s="24" t="s">
        <v>818</v>
      </c>
      <c r="D253" s="24" t="s">
        <v>524</v>
      </c>
      <c r="E253" s="24"/>
      <c r="F253" s="42">
        <f>F254+F262</f>
        <v>16638.3</v>
      </c>
      <c r="G253" s="42">
        <f>G254+G262</f>
        <v>16638.3</v>
      </c>
    </row>
    <row r="254" spans="1:7" x14ac:dyDescent="0.2">
      <c r="A254" s="105" t="s">
        <v>533</v>
      </c>
      <c r="B254" s="33" t="s">
        <v>216</v>
      </c>
      <c r="C254" s="33" t="s">
        <v>818</v>
      </c>
      <c r="D254" s="55" t="s">
        <v>53</v>
      </c>
      <c r="E254" s="33"/>
      <c r="F254" s="101">
        <f>F255</f>
        <v>4182.3</v>
      </c>
      <c r="G254" s="101">
        <f>G255</f>
        <v>4182.3</v>
      </c>
    </row>
    <row r="255" spans="1:7" x14ac:dyDescent="0.2">
      <c r="A255" s="80" t="s">
        <v>819</v>
      </c>
      <c r="B255" s="24" t="s">
        <v>216</v>
      </c>
      <c r="C255" s="24" t="s">
        <v>818</v>
      </c>
      <c r="D255" s="24" t="s">
        <v>53</v>
      </c>
      <c r="E255" s="24"/>
      <c r="F255" s="42">
        <f>F256+F258+F260</f>
        <v>4182.3</v>
      </c>
      <c r="G255" s="42">
        <f>G256+G258+G260</f>
        <v>4182.3</v>
      </c>
    </row>
    <row r="256" spans="1:7" ht="36" x14ac:dyDescent="0.2">
      <c r="A256" s="84" t="s">
        <v>217</v>
      </c>
      <c r="B256" s="30" t="s">
        <v>216</v>
      </c>
      <c r="C256" s="30" t="s">
        <v>818</v>
      </c>
      <c r="D256" s="30" t="s">
        <v>53</v>
      </c>
      <c r="E256" s="30" t="s">
        <v>218</v>
      </c>
      <c r="F256" s="41">
        <f>F257</f>
        <v>3728.3</v>
      </c>
      <c r="G256" s="41">
        <f>G257</f>
        <v>3728.3</v>
      </c>
    </row>
    <row r="257" spans="1:7" x14ac:dyDescent="0.2">
      <c r="A257" s="84" t="s">
        <v>820</v>
      </c>
      <c r="B257" s="30" t="s">
        <v>216</v>
      </c>
      <c r="C257" s="30" t="s">
        <v>818</v>
      </c>
      <c r="D257" s="30" t="s">
        <v>53</v>
      </c>
      <c r="E257" s="30" t="s">
        <v>821</v>
      </c>
      <c r="F257" s="41">
        <f>2863.5+864.8</f>
        <v>3728.3</v>
      </c>
      <c r="G257" s="41">
        <f>2863.5+864.8</f>
        <v>3728.3</v>
      </c>
    </row>
    <row r="258" spans="1:7" x14ac:dyDescent="0.2">
      <c r="A258" s="84" t="s">
        <v>473</v>
      </c>
      <c r="B258" s="30" t="s">
        <v>216</v>
      </c>
      <c r="C258" s="30" t="s">
        <v>818</v>
      </c>
      <c r="D258" s="30" t="s">
        <v>53</v>
      </c>
      <c r="E258" s="30" t="s">
        <v>226</v>
      </c>
      <c r="F258" s="41">
        <f>F259</f>
        <v>419</v>
      </c>
      <c r="G258" s="41">
        <f>G259</f>
        <v>419</v>
      </c>
    </row>
    <row r="259" spans="1:7" x14ac:dyDescent="0.2">
      <c r="A259" s="84" t="s">
        <v>227</v>
      </c>
      <c r="B259" s="30" t="s">
        <v>216</v>
      </c>
      <c r="C259" s="30" t="s">
        <v>818</v>
      </c>
      <c r="D259" s="30" t="s">
        <v>53</v>
      </c>
      <c r="E259" s="30" t="s">
        <v>228</v>
      </c>
      <c r="F259" s="41">
        <v>419</v>
      </c>
      <c r="G259" s="41">
        <v>419</v>
      </c>
    </row>
    <row r="260" spans="1:7" x14ac:dyDescent="0.2">
      <c r="A260" s="84" t="s">
        <v>229</v>
      </c>
      <c r="B260" s="30" t="s">
        <v>216</v>
      </c>
      <c r="C260" s="30" t="s">
        <v>818</v>
      </c>
      <c r="D260" s="30" t="s">
        <v>53</v>
      </c>
      <c r="E260" s="30" t="s">
        <v>230</v>
      </c>
      <c r="F260" s="41">
        <f>F261</f>
        <v>35</v>
      </c>
      <c r="G260" s="41">
        <f>G261</f>
        <v>35</v>
      </c>
    </row>
    <row r="261" spans="1:7" x14ac:dyDescent="0.2">
      <c r="A261" s="84" t="s">
        <v>311</v>
      </c>
      <c r="B261" s="30" t="s">
        <v>216</v>
      </c>
      <c r="C261" s="30" t="s">
        <v>818</v>
      </c>
      <c r="D261" s="30" t="s">
        <v>53</v>
      </c>
      <c r="E261" s="30" t="s">
        <v>231</v>
      </c>
      <c r="F261" s="41">
        <v>35</v>
      </c>
      <c r="G261" s="41">
        <v>35</v>
      </c>
    </row>
    <row r="262" spans="1:7" x14ac:dyDescent="0.2">
      <c r="A262" s="123" t="s">
        <v>534</v>
      </c>
      <c r="B262" s="25" t="s">
        <v>216</v>
      </c>
      <c r="C262" s="25" t="s">
        <v>818</v>
      </c>
      <c r="D262" s="54" t="s">
        <v>54</v>
      </c>
      <c r="E262" s="25"/>
      <c r="F262" s="45">
        <f>F263</f>
        <v>12456</v>
      </c>
      <c r="G262" s="45">
        <f>G263</f>
        <v>12456</v>
      </c>
    </row>
    <row r="263" spans="1:7" ht="24" x14ac:dyDescent="0.2">
      <c r="A263" s="84" t="s">
        <v>246</v>
      </c>
      <c r="B263" s="30" t="s">
        <v>216</v>
      </c>
      <c r="C263" s="30" t="s">
        <v>818</v>
      </c>
      <c r="D263" s="30" t="s">
        <v>54</v>
      </c>
      <c r="E263" s="30" t="s">
        <v>702</v>
      </c>
      <c r="F263" s="41">
        <f>F264</f>
        <v>12456</v>
      </c>
      <c r="G263" s="41">
        <f>G264</f>
        <v>12456</v>
      </c>
    </row>
    <row r="264" spans="1:7" x14ac:dyDescent="0.2">
      <c r="A264" s="84" t="s">
        <v>247</v>
      </c>
      <c r="B264" s="30" t="s">
        <v>216</v>
      </c>
      <c r="C264" s="30" t="s">
        <v>818</v>
      </c>
      <c r="D264" s="30" t="s">
        <v>54</v>
      </c>
      <c r="E264" s="30" t="s">
        <v>724</v>
      </c>
      <c r="F264" s="41">
        <v>12456</v>
      </c>
      <c r="G264" s="41">
        <v>12456</v>
      </c>
    </row>
    <row r="265" spans="1:7" x14ac:dyDescent="0.2">
      <c r="A265" s="80" t="s">
        <v>698</v>
      </c>
      <c r="B265" s="24" t="s">
        <v>216</v>
      </c>
      <c r="C265" s="24" t="s">
        <v>823</v>
      </c>
      <c r="D265" s="40"/>
      <c r="E265" s="30"/>
      <c r="F265" s="42">
        <f>F266+F282+F287+F294</f>
        <v>25000</v>
      </c>
      <c r="G265" s="42">
        <f>G266+G282+G287+G294</f>
        <v>30000</v>
      </c>
    </row>
    <row r="266" spans="1:7" ht="40.5" x14ac:dyDescent="0.2">
      <c r="A266" s="86" t="s">
        <v>699</v>
      </c>
      <c r="B266" s="53" t="s">
        <v>216</v>
      </c>
      <c r="C266" s="53" t="s">
        <v>823</v>
      </c>
      <c r="D266" s="53" t="s">
        <v>387</v>
      </c>
      <c r="E266" s="53"/>
      <c r="F266" s="115">
        <f>F267+F270+F273+F276+F279</f>
        <v>1500</v>
      </c>
      <c r="G266" s="115">
        <f>G267+G270+G273+G276+G279</f>
        <v>1500</v>
      </c>
    </row>
    <row r="267" spans="1:7" ht="48" x14ac:dyDescent="0.2">
      <c r="A267" s="61" t="s">
        <v>16</v>
      </c>
      <c r="B267" s="24" t="s">
        <v>216</v>
      </c>
      <c r="C267" s="24" t="s">
        <v>823</v>
      </c>
      <c r="D267" s="24" t="s">
        <v>28</v>
      </c>
      <c r="E267" s="24"/>
      <c r="F267" s="35">
        <f>F268</f>
        <v>200</v>
      </c>
      <c r="G267" s="35">
        <f>G268</f>
        <v>200</v>
      </c>
    </row>
    <row r="268" spans="1:7" x14ac:dyDescent="0.2">
      <c r="A268" s="84" t="s">
        <v>473</v>
      </c>
      <c r="B268" s="30" t="s">
        <v>216</v>
      </c>
      <c r="C268" s="30" t="s">
        <v>823</v>
      </c>
      <c r="D268" s="30" t="s">
        <v>28</v>
      </c>
      <c r="E268" s="30" t="s">
        <v>226</v>
      </c>
      <c r="F268" s="116">
        <f>F269</f>
        <v>200</v>
      </c>
      <c r="G268" s="116">
        <f>G269</f>
        <v>200</v>
      </c>
    </row>
    <row r="269" spans="1:7" x14ac:dyDescent="0.2">
      <c r="A269" s="84" t="s">
        <v>227</v>
      </c>
      <c r="B269" s="30" t="s">
        <v>216</v>
      </c>
      <c r="C269" s="30" t="s">
        <v>823</v>
      </c>
      <c r="D269" s="30" t="s">
        <v>28</v>
      </c>
      <c r="E269" s="30" t="s">
        <v>228</v>
      </c>
      <c r="F269" s="116">
        <v>200</v>
      </c>
      <c r="G269" s="116">
        <v>200</v>
      </c>
    </row>
    <row r="270" spans="1:7" ht="48" x14ac:dyDescent="0.2">
      <c r="A270" s="61" t="s">
        <v>17</v>
      </c>
      <c r="B270" s="24" t="s">
        <v>216</v>
      </c>
      <c r="C270" s="24" t="s">
        <v>823</v>
      </c>
      <c r="D270" s="24" t="s">
        <v>29</v>
      </c>
      <c r="E270" s="24"/>
      <c r="F270" s="35">
        <f>F271</f>
        <v>300</v>
      </c>
      <c r="G270" s="35">
        <f>G271</f>
        <v>300</v>
      </c>
    </row>
    <row r="271" spans="1:7" x14ac:dyDescent="0.2">
      <c r="A271" s="84" t="s">
        <v>473</v>
      </c>
      <c r="B271" s="30" t="s">
        <v>216</v>
      </c>
      <c r="C271" s="30" t="s">
        <v>823</v>
      </c>
      <c r="D271" s="30" t="s">
        <v>29</v>
      </c>
      <c r="E271" s="30" t="s">
        <v>226</v>
      </c>
      <c r="F271" s="116">
        <f>F272</f>
        <v>300</v>
      </c>
      <c r="G271" s="116">
        <f>G272</f>
        <v>300</v>
      </c>
    </row>
    <row r="272" spans="1:7" x14ac:dyDescent="0.2">
      <c r="A272" s="84" t="s">
        <v>227</v>
      </c>
      <c r="B272" s="30" t="s">
        <v>216</v>
      </c>
      <c r="C272" s="30" t="s">
        <v>823</v>
      </c>
      <c r="D272" s="30" t="s">
        <v>29</v>
      </c>
      <c r="E272" s="30" t="s">
        <v>228</v>
      </c>
      <c r="F272" s="116">
        <v>300</v>
      </c>
      <c r="G272" s="116">
        <v>300</v>
      </c>
    </row>
    <row r="273" spans="1:7" ht="36" x14ac:dyDescent="0.2">
      <c r="A273" s="80" t="s">
        <v>18</v>
      </c>
      <c r="B273" s="24" t="s">
        <v>216</v>
      </c>
      <c r="C273" s="24" t="s">
        <v>823</v>
      </c>
      <c r="D273" s="24" t="s">
        <v>30</v>
      </c>
      <c r="E273" s="24"/>
      <c r="F273" s="35">
        <f>F274</f>
        <v>300</v>
      </c>
      <c r="G273" s="35">
        <f>G274</f>
        <v>300</v>
      </c>
    </row>
    <row r="274" spans="1:7" x14ac:dyDescent="0.2">
      <c r="A274" s="84" t="s">
        <v>473</v>
      </c>
      <c r="B274" s="30" t="s">
        <v>216</v>
      </c>
      <c r="C274" s="30" t="s">
        <v>823</v>
      </c>
      <c r="D274" s="30" t="s">
        <v>30</v>
      </c>
      <c r="E274" s="30" t="s">
        <v>226</v>
      </c>
      <c r="F274" s="116">
        <f>F275</f>
        <v>300</v>
      </c>
      <c r="G274" s="116">
        <f>G275</f>
        <v>300</v>
      </c>
    </row>
    <row r="275" spans="1:7" x14ac:dyDescent="0.2">
      <c r="A275" s="84" t="s">
        <v>227</v>
      </c>
      <c r="B275" s="30" t="s">
        <v>216</v>
      </c>
      <c r="C275" s="30" t="s">
        <v>823</v>
      </c>
      <c r="D275" s="30" t="s">
        <v>30</v>
      </c>
      <c r="E275" s="30" t="s">
        <v>228</v>
      </c>
      <c r="F275" s="116">
        <v>300</v>
      </c>
      <c r="G275" s="116">
        <v>300</v>
      </c>
    </row>
    <row r="276" spans="1:7" ht="24" x14ac:dyDescent="0.2">
      <c r="A276" s="80" t="s">
        <v>19</v>
      </c>
      <c r="B276" s="24" t="s">
        <v>216</v>
      </c>
      <c r="C276" s="24" t="s">
        <v>823</v>
      </c>
      <c r="D276" s="24" t="s">
        <v>31</v>
      </c>
      <c r="E276" s="24"/>
      <c r="F276" s="35">
        <f>F277</f>
        <v>400</v>
      </c>
      <c r="G276" s="35">
        <f>G277</f>
        <v>400</v>
      </c>
    </row>
    <row r="277" spans="1:7" x14ac:dyDescent="0.2">
      <c r="A277" s="84" t="s">
        <v>473</v>
      </c>
      <c r="B277" s="30" t="s">
        <v>216</v>
      </c>
      <c r="C277" s="30" t="s">
        <v>823</v>
      </c>
      <c r="D277" s="30" t="s">
        <v>31</v>
      </c>
      <c r="E277" s="30" t="s">
        <v>226</v>
      </c>
      <c r="F277" s="116">
        <f>F278</f>
        <v>400</v>
      </c>
      <c r="G277" s="116">
        <f>G278</f>
        <v>400</v>
      </c>
    </row>
    <row r="278" spans="1:7" x14ac:dyDescent="0.2">
      <c r="A278" s="84" t="s">
        <v>227</v>
      </c>
      <c r="B278" s="30" t="s">
        <v>216</v>
      </c>
      <c r="C278" s="30" t="s">
        <v>823</v>
      </c>
      <c r="D278" s="30" t="s">
        <v>31</v>
      </c>
      <c r="E278" s="30" t="s">
        <v>228</v>
      </c>
      <c r="F278" s="116">
        <v>400</v>
      </c>
      <c r="G278" s="116">
        <v>400</v>
      </c>
    </row>
    <row r="279" spans="1:7" ht="24" x14ac:dyDescent="0.2">
      <c r="A279" s="80" t="s">
        <v>27</v>
      </c>
      <c r="B279" s="24" t="s">
        <v>216</v>
      </c>
      <c r="C279" s="24" t="s">
        <v>823</v>
      </c>
      <c r="D279" s="24" t="s">
        <v>32</v>
      </c>
      <c r="E279" s="24"/>
      <c r="F279" s="35">
        <f>F280</f>
        <v>300</v>
      </c>
      <c r="G279" s="35">
        <f>G280</f>
        <v>300</v>
      </c>
    </row>
    <row r="280" spans="1:7" x14ac:dyDescent="0.2">
      <c r="A280" s="84" t="s">
        <v>473</v>
      </c>
      <c r="B280" s="30" t="s">
        <v>216</v>
      </c>
      <c r="C280" s="30" t="s">
        <v>823</v>
      </c>
      <c r="D280" s="30" t="s">
        <v>32</v>
      </c>
      <c r="E280" s="30" t="s">
        <v>226</v>
      </c>
      <c r="F280" s="116">
        <f>F281</f>
        <v>300</v>
      </c>
      <c r="G280" s="116">
        <f>G281</f>
        <v>300</v>
      </c>
    </row>
    <row r="281" spans="1:7" x14ac:dyDescent="0.2">
      <c r="A281" s="84" t="s">
        <v>227</v>
      </c>
      <c r="B281" s="30" t="s">
        <v>216</v>
      </c>
      <c r="C281" s="30" t="s">
        <v>823</v>
      </c>
      <c r="D281" s="30" t="s">
        <v>32</v>
      </c>
      <c r="E281" s="30" t="s">
        <v>228</v>
      </c>
      <c r="F281" s="116">
        <v>300</v>
      </c>
      <c r="G281" s="116">
        <v>300</v>
      </c>
    </row>
    <row r="282" spans="1:7" ht="27" x14ac:dyDescent="0.2">
      <c r="A282" s="86" t="s">
        <v>65</v>
      </c>
      <c r="B282" s="53" t="s">
        <v>216</v>
      </c>
      <c r="C282" s="53" t="s">
        <v>823</v>
      </c>
      <c r="D282" s="53" t="s">
        <v>410</v>
      </c>
      <c r="E282" s="53"/>
      <c r="F282" s="57">
        <f t="shared" ref="F282:G285" si="7">F283</f>
        <v>2000</v>
      </c>
      <c r="G282" s="57">
        <f t="shared" si="7"/>
        <v>2000</v>
      </c>
    </row>
    <row r="283" spans="1:7" x14ac:dyDescent="0.2">
      <c r="A283" s="80" t="s">
        <v>412</v>
      </c>
      <c r="B283" s="24" t="s">
        <v>216</v>
      </c>
      <c r="C283" s="24" t="s">
        <v>823</v>
      </c>
      <c r="D283" s="24" t="s">
        <v>411</v>
      </c>
      <c r="E283" s="30"/>
      <c r="F283" s="42">
        <f t="shared" si="7"/>
        <v>2000</v>
      </c>
      <c r="G283" s="42">
        <f t="shared" si="7"/>
        <v>2000</v>
      </c>
    </row>
    <row r="284" spans="1:7" x14ac:dyDescent="0.2">
      <c r="A284" s="125" t="s">
        <v>718</v>
      </c>
      <c r="B284" s="25" t="s">
        <v>216</v>
      </c>
      <c r="C284" s="25" t="s">
        <v>823</v>
      </c>
      <c r="D284" s="124" t="s">
        <v>66</v>
      </c>
      <c r="E284" s="25"/>
      <c r="F284" s="45">
        <f t="shared" si="7"/>
        <v>2000</v>
      </c>
      <c r="G284" s="45">
        <f t="shared" si="7"/>
        <v>2000</v>
      </c>
    </row>
    <row r="285" spans="1:7" x14ac:dyDescent="0.2">
      <c r="A285" s="84" t="s">
        <v>473</v>
      </c>
      <c r="B285" s="30" t="s">
        <v>216</v>
      </c>
      <c r="C285" s="30" t="s">
        <v>823</v>
      </c>
      <c r="D285" s="30" t="s">
        <v>66</v>
      </c>
      <c r="E285" s="30" t="s">
        <v>226</v>
      </c>
      <c r="F285" s="41">
        <f t="shared" si="7"/>
        <v>2000</v>
      </c>
      <c r="G285" s="41">
        <f t="shared" si="7"/>
        <v>2000</v>
      </c>
    </row>
    <row r="286" spans="1:7" x14ac:dyDescent="0.2">
      <c r="A286" s="84" t="s">
        <v>227</v>
      </c>
      <c r="B286" s="30" t="s">
        <v>216</v>
      </c>
      <c r="C286" s="30" t="s">
        <v>823</v>
      </c>
      <c r="D286" s="30" t="s">
        <v>66</v>
      </c>
      <c r="E286" s="30" t="s">
        <v>228</v>
      </c>
      <c r="F286" s="41">
        <v>2000</v>
      </c>
      <c r="G286" s="41">
        <v>2000</v>
      </c>
    </row>
    <row r="287" spans="1:7" ht="27" x14ac:dyDescent="0.2">
      <c r="A287" s="86" t="s">
        <v>549</v>
      </c>
      <c r="B287" s="53" t="s">
        <v>216</v>
      </c>
      <c r="C287" s="53" t="s">
        <v>823</v>
      </c>
      <c r="D287" s="53" t="s">
        <v>444</v>
      </c>
      <c r="E287" s="53"/>
      <c r="F287" s="57">
        <f>F288+F291</f>
        <v>1500</v>
      </c>
      <c r="G287" s="57">
        <f>G288+G291</f>
        <v>6500</v>
      </c>
    </row>
    <row r="288" spans="1:7" x14ac:dyDescent="0.2">
      <c r="A288" s="80" t="s">
        <v>395</v>
      </c>
      <c r="B288" s="24" t="s">
        <v>216</v>
      </c>
      <c r="C288" s="24" t="s">
        <v>823</v>
      </c>
      <c r="D288" s="24" t="s">
        <v>843</v>
      </c>
      <c r="E288" s="24"/>
      <c r="F288" s="42">
        <f>F289</f>
        <v>1000</v>
      </c>
      <c r="G288" s="42">
        <f>G289</f>
        <v>6000</v>
      </c>
    </row>
    <row r="289" spans="1:7" x14ac:dyDescent="0.2">
      <c r="A289" s="84" t="s">
        <v>473</v>
      </c>
      <c r="B289" s="30" t="s">
        <v>216</v>
      </c>
      <c r="C289" s="30" t="s">
        <v>823</v>
      </c>
      <c r="D289" s="30" t="s">
        <v>843</v>
      </c>
      <c r="E289" s="30" t="s">
        <v>226</v>
      </c>
      <c r="F289" s="41">
        <f>F290</f>
        <v>1000</v>
      </c>
      <c r="G289" s="41">
        <f>G290</f>
        <v>6000</v>
      </c>
    </row>
    <row r="290" spans="1:7" s="49" customFormat="1" x14ac:dyDescent="0.2">
      <c r="A290" s="84" t="s">
        <v>227</v>
      </c>
      <c r="B290" s="30" t="s">
        <v>216</v>
      </c>
      <c r="C290" s="30" t="s">
        <v>823</v>
      </c>
      <c r="D290" s="30" t="s">
        <v>843</v>
      </c>
      <c r="E290" s="30" t="s">
        <v>228</v>
      </c>
      <c r="F290" s="41">
        <f>6000-5000</f>
        <v>1000</v>
      </c>
      <c r="G290" s="41">
        <v>6000</v>
      </c>
    </row>
    <row r="291" spans="1:7" s="50" customFormat="1" x14ac:dyDescent="0.2">
      <c r="A291" s="75" t="s">
        <v>286</v>
      </c>
      <c r="B291" s="24" t="s">
        <v>216</v>
      </c>
      <c r="C291" s="24" t="s">
        <v>823</v>
      </c>
      <c r="D291" s="24" t="s">
        <v>846</v>
      </c>
      <c r="E291" s="24"/>
      <c r="F291" s="42">
        <f>F292</f>
        <v>500</v>
      </c>
      <c r="G291" s="42">
        <f>G292</f>
        <v>500</v>
      </c>
    </row>
    <row r="292" spans="1:7" s="50" customFormat="1" x14ac:dyDescent="0.2">
      <c r="A292" s="84" t="s">
        <v>473</v>
      </c>
      <c r="B292" s="30" t="s">
        <v>216</v>
      </c>
      <c r="C292" s="30" t="s">
        <v>823</v>
      </c>
      <c r="D292" s="30" t="s">
        <v>846</v>
      </c>
      <c r="E292" s="30" t="s">
        <v>226</v>
      </c>
      <c r="F292" s="41">
        <f>F293</f>
        <v>500</v>
      </c>
      <c r="G292" s="41">
        <f>G293</f>
        <v>500</v>
      </c>
    </row>
    <row r="293" spans="1:7" s="50" customFormat="1" x14ac:dyDescent="0.2">
      <c r="A293" s="84" t="s">
        <v>227</v>
      </c>
      <c r="B293" s="30" t="s">
        <v>216</v>
      </c>
      <c r="C293" s="30" t="s">
        <v>823</v>
      </c>
      <c r="D293" s="30" t="s">
        <v>846</v>
      </c>
      <c r="E293" s="30" t="s">
        <v>228</v>
      </c>
      <c r="F293" s="41">
        <v>500</v>
      </c>
      <c r="G293" s="41">
        <v>500</v>
      </c>
    </row>
    <row r="294" spans="1:7" s="50" customFormat="1" x14ac:dyDescent="0.2">
      <c r="A294" s="81" t="s">
        <v>212</v>
      </c>
      <c r="B294" s="25" t="s">
        <v>216</v>
      </c>
      <c r="C294" s="25" t="s">
        <v>823</v>
      </c>
      <c r="D294" s="25" t="s">
        <v>382</v>
      </c>
      <c r="E294" s="25"/>
      <c r="F294" s="45">
        <f>F295</f>
        <v>20000</v>
      </c>
      <c r="G294" s="45">
        <f>G295</f>
        <v>20000</v>
      </c>
    </row>
    <row r="295" spans="1:7" s="50" customFormat="1" x14ac:dyDescent="0.2">
      <c r="A295" s="80" t="s">
        <v>476</v>
      </c>
      <c r="B295" s="24" t="s">
        <v>216</v>
      </c>
      <c r="C295" s="24" t="s">
        <v>823</v>
      </c>
      <c r="D295" s="24" t="s">
        <v>383</v>
      </c>
      <c r="E295" s="24"/>
      <c r="F295" s="42">
        <f>F296+F299+F302+F305+F308</f>
        <v>20000</v>
      </c>
      <c r="G295" s="42">
        <f>G296+G299+G302+G305+G308</f>
        <v>20000</v>
      </c>
    </row>
    <row r="296" spans="1:7" s="50" customFormat="1" ht="24" x14ac:dyDescent="0.2">
      <c r="A296" s="80" t="s">
        <v>33</v>
      </c>
      <c r="B296" s="24" t="s">
        <v>216</v>
      </c>
      <c r="C296" s="24" t="s">
        <v>823</v>
      </c>
      <c r="D296" s="24" t="s">
        <v>37</v>
      </c>
      <c r="E296" s="24"/>
      <c r="F296" s="42">
        <f>F297</f>
        <v>13200</v>
      </c>
      <c r="G296" s="42">
        <f>G297</f>
        <v>13200</v>
      </c>
    </row>
    <row r="297" spans="1:7" s="50" customFormat="1" x14ac:dyDescent="0.2">
      <c r="A297" s="84" t="s">
        <v>473</v>
      </c>
      <c r="B297" s="30" t="s">
        <v>216</v>
      </c>
      <c r="C297" s="30" t="s">
        <v>823</v>
      </c>
      <c r="D297" s="30" t="s">
        <v>37</v>
      </c>
      <c r="E297" s="31">
        <v>200</v>
      </c>
      <c r="F297" s="41">
        <f>F298</f>
        <v>13200</v>
      </c>
      <c r="G297" s="41">
        <f>G298</f>
        <v>13200</v>
      </c>
    </row>
    <row r="298" spans="1:7" s="50" customFormat="1" x14ac:dyDescent="0.2">
      <c r="A298" s="84" t="s">
        <v>227</v>
      </c>
      <c r="B298" s="30" t="s">
        <v>216</v>
      </c>
      <c r="C298" s="30" t="s">
        <v>823</v>
      </c>
      <c r="D298" s="30" t="s">
        <v>37</v>
      </c>
      <c r="E298" s="30" t="s">
        <v>228</v>
      </c>
      <c r="F298" s="41">
        <v>13200</v>
      </c>
      <c r="G298" s="41">
        <v>13200</v>
      </c>
    </row>
    <row r="299" spans="1:7" s="50" customFormat="1" x14ac:dyDescent="0.2">
      <c r="A299" s="80" t="s">
        <v>34</v>
      </c>
      <c r="B299" s="24" t="s">
        <v>216</v>
      </c>
      <c r="C299" s="24" t="s">
        <v>823</v>
      </c>
      <c r="D299" s="24" t="s">
        <v>38</v>
      </c>
      <c r="E299" s="24"/>
      <c r="F299" s="42">
        <f>F300</f>
        <v>1500</v>
      </c>
      <c r="G299" s="42">
        <f>G300</f>
        <v>1500</v>
      </c>
    </row>
    <row r="300" spans="1:7" s="50" customFormat="1" x14ac:dyDescent="0.2">
      <c r="A300" s="84" t="s">
        <v>473</v>
      </c>
      <c r="B300" s="30" t="s">
        <v>216</v>
      </c>
      <c r="C300" s="30" t="s">
        <v>823</v>
      </c>
      <c r="D300" s="30" t="s">
        <v>38</v>
      </c>
      <c r="E300" s="31">
        <v>200</v>
      </c>
      <c r="F300" s="41">
        <f>F301</f>
        <v>1500</v>
      </c>
      <c r="G300" s="41">
        <f>G301</f>
        <v>1500</v>
      </c>
    </row>
    <row r="301" spans="1:7" s="50" customFormat="1" x14ac:dyDescent="0.2">
      <c r="A301" s="84" t="s">
        <v>227</v>
      </c>
      <c r="B301" s="30" t="s">
        <v>216</v>
      </c>
      <c r="C301" s="30" t="s">
        <v>823</v>
      </c>
      <c r="D301" s="30" t="s">
        <v>38</v>
      </c>
      <c r="E301" s="30" t="s">
        <v>228</v>
      </c>
      <c r="F301" s="41">
        <v>1500</v>
      </c>
      <c r="G301" s="41">
        <v>1500</v>
      </c>
    </row>
    <row r="302" spans="1:7" s="50" customFormat="1" ht="24" x14ac:dyDescent="0.2">
      <c r="A302" s="80" t="s">
        <v>35</v>
      </c>
      <c r="B302" s="24" t="s">
        <v>216</v>
      </c>
      <c r="C302" s="24" t="s">
        <v>823</v>
      </c>
      <c r="D302" s="24" t="s">
        <v>39</v>
      </c>
      <c r="E302" s="24"/>
      <c r="F302" s="117">
        <f>F303</f>
        <v>4000</v>
      </c>
      <c r="G302" s="117">
        <f>G303</f>
        <v>4000</v>
      </c>
    </row>
    <row r="303" spans="1:7" s="50" customFormat="1" x14ac:dyDescent="0.2">
      <c r="A303" s="84" t="s">
        <v>473</v>
      </c>
      <c r="B303" s="30" t="s">
        <v>216</v>
      </c>
      <c r="C303" s="30" t="s">
        <v>823</v>
      </c>
      <c r="D303" s="30" t="s">
        <v>39</v>
      </c>
      <c r="E303" s="31">
        <v>200</v>
      </c>
      <c r="F303" s="118">
        <f>F304</f>
        <v>4000</v>
      </c>
      <c r="G303" s="118">
        <f>G304</f>
        <v>4000</v>
      </c>
    </row>
    <row r="304" spans="1:7" s="50" customFormat="1" x14ac:dyDescent="0.2">
      <c r="A304" s="84" t="s">
        <v>227</v>
      </c>
      <c r="B304" s="30" t="s">
        <v>216</v>
      </c>
      <c r="C304" s="30" t="s">
        <v>823</v>
      </c>
      <c r="D304" s="30" t="s">
        <v>39</v>
      </c>
      <c r="E304" s="30" t="s">
        <v>228</v>
      </c>
      <c r="F304" s="118">
        <v>4000</v>
      </c>
      <c r="G304" s="118">
        <v>4000</v>
      </c>
    </row>
    <row r="305" spans="1:7" s="50" customFormat="1" ht="24" x14ac:dyDescent="0.2">
      <c r="A305" s="80" t="s">
        <v>36</v>
      </c>
      <c r="B305" s="24" t="s">
        <v>216</v>
      </c>
      <c r="C305" s="24" t="s">
        <v>823</v>
      </c>
      <c r="D305" s="24" t="s">
        <v>544</v>
      </c>
      <c r="E305" s="24"/>
      <c r="F305" s="117">
        <f>F306</f>
        <v>300</v>
      </c>
      <c r="G305" s="117">
        <f>G306</f>
        <v>300</v>
      </c>
    </row>
    <row r="306" spans="1:7" s="50" customFormat="1" x14ac:dyDescent="0.2">
      <c r="A306" s="84" t="s">
        <v>473</v>
      </c>
      <c r="B306" s="30" t="s">
        <v>216</v>
      </c>
      <c r="C306" s="30" t="s">
        <v>823</v>
      </c>
      <c r="D306" s="30" t="s">
        <v>544</v>
      </c>
      <c r="E306" s="31">
        <v>200</v>
      </c>
      <c r="F306" s="118">
        <f>F307</f>
        <v>300</v>
      </c>
      <c r="G306" s="118">
        <f>G307</f>
        <v>300</v>
      </c>
    </row>
    <row r="307" spans="1:7" s="50" customFormat="1" x14ac:dyDescent="0.2">
      <c r="A307" s="84" t="s">
        <v>227</v>
      </c>
      <c r="B307" s="30" t="s">
        <v>216</v>
      </c>
      <c r="C307" s="30" t="s">
        <v>823</v>
      </c>
      <c r="D307" s="30" t="s">
        <v>544</v>
      </c>
      <c r="E307" s="30" t="s">
        <v>228</v>
      </c>
      <c r="F307" s="118">
        <v>300</v>
      </c>
      <c r="G307" s="118">
        <v>300</v>
      </c>
    </row>
    <row r="308" spans="1:7" s="50" customFormat="1" x14ac:dyDescent="0.2">
      <c r="A308" s="80" t="s">
        <v>554</v>
      </c>
      <c r="B308" s="24" t="s">
        <v>216</v>
      </c>
      <c r="C308" s="24" t="s">
        <v>823</v>
      </c>
      <c r="D308" s="24" t="s">
        <v>270</v>
      </c>
      <c r="E308" s="24"/>
      <c r="F308" s="42">
        <f>F309</f>
        <v>1000</v>
      </c>
      <c r="G308" s="42">
        <f>G309</f>
        <v>1000</v>
      </c>
    </row>
    <row r="309" spans="1:7" s="50" customFormat="1" x14ac:dyDescent="0.2">
      <c r="A309" s="84" t="s">
        <v>473</v>
      </c>
      <c r="B309" s="30" t="s">
        <v>216</v>
      </c>
      <c r="C309" s="30" t="s">
        <v>823</v>
      </c>
      <c r="D309" s="30" t="s">
        <v>270</v>
      </c>
      <c r="E309" s="31">
        <v>200</v>
      </c>
      <c r="F309" s="41">
        <f>F310</f>
        <v>1000</v>
      </c>
      <c r="G309" s="41">
        <f>G310</f>
        <v>1000</v>
      </c>
    </row>
    <row r="310" spans="1:7" s="50" customFormat="1" x14ac:dyDescent="0.2">
      <c r="A310" s="84" t="s">
        <v>227</v>
      </c>
      <c r="B310" s="30" t="s">
        <v>216</v>
      </c>
      <c r="C310" s="30" t="s">
        <v>823</v>
      </c>
      <c r="D310" s="30" t="s">
        <v>270</v>
      </c>
      <c r="E310" s="30" t="s">
        <v>228</v>
      </c>
      <c r="F310" s="41">
        <v>1000</v>
      </c>
      <c r="G310" s="41">
        <v>1000</v>
      </c>
    </row>
    <row r="311" spans="1:7" s="50" customFormat="1" x14ac:dyDescent="0.2">
      <c r="A311" s="80" t="s">
        <v>667</v>
      </c>
      <c r="B311" s="24" t="s">
        <v>731</v>
      </c>
      <c r="C311" s="24" t="s">
        <v>215</v>
      </c>
      <c r="D311" s="24"/>
      <c r="E311" s="37"/>
      <c r="F311" s="117">
        <f>F312+F345+F373+F430</f>
        <v>527294.4</v>
      </c>
      <c r="G311" s="117">
        <f>G312+G345+G373+G430</f>
        <v>475359</v>
      </c>
    </row>
    <row r="312" spans="1:7" s="50" customFormat="1" x14ac:dyDescent="0.2">
      <c r="A312" s="80" t="s">
        <v>668</v>
      </c>
      <c r="B312" s="24" t="s">
        <v>731</v>
      </c>
      <c r="C312" s="24" t="s">
        <v>214</v>
      </c>
      <c r="D312" s="25"/>
      <c r="E312" s="25"/>
      <c r="F312" s="42">
        <f>F313+F335</f>
        <v>38805</v>
      </c>
      <c r="G312" s="42">
        <f>G313+G335</f>
        <v>31205</v>
      </c>
    </row>
    <row r="313" spans="1:7" s="50" customFormat="1" ht="27" x14ac:dyDescent="0.2">
      <c r="A313" s="86" t="s">
        <v>65</v>
      </c>
      <c r="B313" s="53" t="s">
        <v>731</v>
      </c>
      <c r="C313" s="53" t="s">
        <v>214</v>
      </c>
      <c r="D313" s="53" t="s">
        <v>410</v>
      </c>
      <c r="E313" s="25"/>
      <c r="F313" s="57">
        <f>F314+F321+F328</f>
        <v>21005</v>
      </c>
      <c r="G313" s="57">
        <f>G314+G321+G328</f>
        <v>22205</v>
      </c>
    </row>
    <row r="314" spans="1:7" s="50" customFormat="1" x14ac:dyDescent="0.2">
      <c r="A314" s="80" t="s">
        <v>197</v>
      </c>
      <c r="B314" s="24" t="s">
        <v>731</v>
      </c>
      <c r="C314" s="24" t="s">
        <v>214</v>
      </c>
      <c r="D314" s="24" t="s">
        <v>413</v>
      </c>
      <c r="E314" s="24"/>
      <c r="F314" s="42">
        <f>F315+F318</f>
        <v>6000</v>
      </c>
      <c r="G314" s="42">
        <f>G315+G318</f>
        <v>6000</v>
      </c>
    </row>
    <row r="315" spans="1:7" s="50" customFormat="1" x14ac:dyDescent="0.2">
      <c r="A315" s="83" t="s">
        <v>585</v>
      </c>
      <c r="B315" s="25" t="s">
        <v>731</v>
      </c>
      <c r="C315" s="25" t="s">
        <v>214</v>
      </c>
      <c r="D315" s="25" t="s">
        <v>586</v>
      </c>
      <c r="E315" s="25"/>
      <c r="F315" s="122">
        <f>F316</f>
        <v>1000</v>
      </c>
      <c r="G315" s="122">
        <f>G316</f>
        <v>1000</v>
      </c>
    </row>
    <row r="316" spans="1:7" s="50" customFormat="1" x14ac:dyDescent="0.2">
      <c r="A316" s="84" t="s">
        <v>473</v>
      </c>
      <c r="B316" s="30" t="s">
        <v>731</v>
      </c>
      <c r="C316" s="30" t="s">
        <v>214</v>
      </c>
      <c r="D316" s="30" t="s">
        <v>586</v>
      </c>
      <c r="E316" s="30" t="s">
        <v>226</v>
      </c>
      <c r="F316" s="118">
        <f>F317</f>
        <v>1000</v>
      </c>
      <c r="G316" s="118">
        <f>G317</f>
        <v>1000</v>
      </c>
    </row>
    <row r="317" spans="1:7" s="50" customFormat="1" x14ac:dyDescent="0.2">
      <c r="A317" s="84" t="s">
        <v>227</v>
      </c>
      <c r="B317" s="30" t="s">
        <v>731</v>
      </c>
      <c r="C317" s="30" t="s">
        <v>214</v>
      </c>
      <c r="D317" s="30" t="s">
        <v>586</v>
      </c>
      <c r="E317" s="30" t="s">
        <v>228</v>
      </c>
      <c r="F317" s="118">
        <v>1000</v>
      </c>
      <c r="G317" s="118">
        <v>1000</v>
      </c>
    </row>
    <row r="318" spans="1:7" s="50" customFormat="1" x14ac:dyDescent="0.2">
      <c r="A318" s="123" t="s">
        <v>414</v>
      </c>
      <c r="B318" s="25" t="s">
        <v>731</v>
      </c>
      <c r="C318" s="25" t="s">
        <v>214</v>
      </c>
      <c r="D318" s="124" t="s">
        <v>67</v>
      </c>
      <c r="E318" s="25"/>
      <c r="F318" s="45">
        <f>F319</f>
        <v>5000</v>
      </c>
      <c r="G318" s="45">
        <f>G319</f>
        <v>5000</v>
      </c>
    </row>
    <row r="319" spans="1:7" s="50" customFormat="1" x14ac:dyDescent="0.2">
      <c r="A319" s="84" t="s">
        <v>473</v>
      </c>
      <c r="B319" s="30" t="s">
        <v>731</v>
      </c>
      <c r="C319" s="30" t="s">
        <v>214</v>
      </c>
      <c r="D319" s="30" t="s">
        <v>67</v>
      </c>
      <c r="E319" s="30" t="s">
        <v>226</v>
      </c>
      <c r="F319" s="41">
        <f>F320</f>
        <v>5000</v>
      </c>
      <c r="G319" s="41">
        <f>G320</f>
        <v>5000</v>
      </c>
    </row>
    <row r="320" spans="1:7" s="50" customFormat="1" x14ac:dyDescent="0.2">
      <c r="A320" s="84" t="s">
        <v>227</v>
      </c>
      <c r="B320" s="30" t="s">
        <v>731</v>
      </c>
      <c r="C320" s="30" t="s">
        <v>214</v>
      </c>
      <c r="D320" s="30" t="s">
        <v>67</v>
      </c>
      <c r="E320" s="30" t="s">
        <v>228</v>
      </c>
      <c r="F320" s="41">
        <v>5000</v>
      </c>
      <c r="G320" s="41">
        <v>5000</v>
      </c>
    </row>
    <row r="321" spans="1:7" s="50" customFormat="1" x14ac:dyDescent="0.2">
      <c r="A321" s="80" t="s">
        <v>307</v>
      </c>
      <c r="B321" s="24" t="s">
        <v>731</v>
      </c>
      <c r="C321" s="24" t="s">
        <v>214</v>
      </c>
      <c r="D321" s="24" t="s">
        <v>276</v>
      </c>
      <c r="E321" s="30"/>
      <c r="F321" s="42">
        <f>F322+F325</f>
        <v>13005</v>
      </c>
      <c r="G321" s="42">
        <f>G322+G325</f>
        <v>13005</v>
      </c>
    </row>
    <row r="322" spans="1:7" s="50" customFormat="1" ht="24" x14ac:dyDescent="0.2">
      <c r="A322" s="83" t="s">
        <v>757</v>
      </c>
      <c r="B322" s="25" t="s">
        <v>731</v>
      </c>
      <c r="C322" s="25" t="s">
        <v>214</v>
      </c>
      <c r="D322" s="25" t="s">
        <v>73</v>
      </c>
      <c r="E322" s="25"/>
      <c r="F322" s="45">
        <f>F323</f>
        <v>10495</v>
      </c>
      <c r="G322" s="45">
        <f>G323</f>
        <v>10495</v>
      </c>
    </row>
    <row r="323" spans="1:7" s="50" customFormat="1" ht="24" x14ac:dyDescent="0.2">
      <c r="A323" s="84" t="s">
        <v>246</v>
      </c>
      <c r="B323" s="30" t="s">
        <v>731</v>
      </c>
      <c r="C323" s="30" t="s">
        <v>214</v>
      </c>
      <c r="D323" s="30" t="s">
        <v>73</v>
      </c>
      <c r="E323" s="30" t="s">
        <v>702</v>
      </c>
      <c r="F323" s="41">
        <f>F324</f>
        <v>10495</v>
      </c>
      <c r="G323" s="41">
        <f>G324</f>
        <v>10495</v>
      </c>
    </row>
    <row r="324" spans="1:7" s="50" customFormat="1" ht="24" x14ac:dyDescent="0.2">
      <c r="A324" s="84" t="s">
        <v>290</v>
      </c>
      <c r="B324" s="30" t="s">
        <v>731</v>
      </c>
      <c r="C324" s="30" t="s">
        <v>214</v>
      </c>
      <c r="D324" s="30" t="s">
        <v>73</v>
      </c>
      <c r="E324" s="30" t="s">
        <v>794</v>
      </c>
      <c r="F324" s="41">
        <v>10495</v>
      </c>
      <c r="G324" s="41">
        <v>10495</v>
      </c>
    </row>
    <row r="325" spans="1:7" s="50" customFormat="1" ht="24" x14ac:dyDescent="0.2">
      <c r="A325" s="83" t="s">
        <v>319</v>
      </c>
      <c r="B325" s="25" t="s">
        <v>731</v>
      </c>
      <c r="C325" s="25" t="s">
        <v>214</v>
      </c>
      <c r="D325" s="25" t="s">
        <v>72</v>
      </c>
      <c r="E325" s="25"/>
      <c r="F325" s="122">
        <f>F326</f>
        <v>2510</v>
      </c>
      <c r="G325" s="122">
        <f>G326</f>
        <v>2510</v>
      </c>
    </row>
    <row r="326" spans="1:7" s="50" customFormat="1" x14ac:dyDescent="0.2">
      <c r="A326" s="84" t="s">
        <v>473</v>
      </c>
      <c r="B326" s="30" t="s">
        <v>731</v>
      </c>
      <c r="C326" s="30" t="s">
        <v>214</v>
      </c>
      <c r="D326" s="30" t="s">
        <v>72</v>
      </c>
      <c r="E326" s="30" t="s">
        <v>226</v>
      </c>
      <c r="F326" s="118">
        <f>F327</f>
        <v>2510</v>
      </c>
      <c r="G326" s="118">
        <f>G327</f>
        <v>2510</v>
      </c>
    </row>
    <row r="327" spans="1:7" s="50" customFormat="1" x14ac:dyDescent="0.2">
      <c r="A327" s="84" t="s">
        <v>227</v>
      </c>
      <c r="B327" s="30" t="s">
        <v>731</v>
      </c>
      <c r="C327" s="30" t="s">
        <v>214</v>
      </c>
      <c r="D327" s="30" t="s">
        <v>72</v>
      </c>
      <c r="E327" s="30" t="s">
        <v>228</v>
      </c>
      <c r="F327" s="118">
        <v>2510</v>
      </c>
      <c r="G327" s="118">
        <v>2510</v>
      </c>
    </row>
    <row r="328" spans="1:7" s="50" customFormat="1" x14ac:dyDescent="0.2">
      <c r="A328" s="80" t="s">
        <v>68</v>
      </c>
      <c r="B328" s="24" t="s">
        <v>731</v>
      </c>
      <c r="C328" s="24" t="s">
        <v>214</v>
      </c>
      <c r="D328" s="24" t="s">
        <v>69</v>
      </c>
      <c r="E328" s="30"/>
      <c r="F328" s="42">
        <f>F329+F332</f>
        <v>2000</v>
      </c>
      <c r="G328" s="42">
        <f>G329+G332</f>
        <v>3200</v>
      </c>
    </row>
    <row r="329" spans="1:7" s="50" customFormat="1" ht="36" x14ac:dyDescent="0.2">
      <c r="A329" s="127" t="s">
        <v>852</v>
      </c>
      <c r="B329" s="25" t="s">
        <v>731</v>
      </c>
      <c r="C329" s="25" t="s">
        <v>214</v>
      </c>
      <c r="D329" s="25" t="s">
        <v>70</v>
      </c>
      <c r="E329" s="25"/>
      <c r="F329" s="45">
        <f>F330</f>
        <v>1000</v>
      </c>
      <c r="G329" s="45">
        <f>G330</f>
        <v>1200</v>
      </c>
    </row>
    <row r="330" spans="1:7" s="50" customFormat="1" x14ac:dyDescent="0.2">
      <c r="A330" s="84" t="s">
        <v>473</v>
      </c>
      <c r="B330" s="30" t="s">
        <v>731</v>
      </c>
      <c r="C330" s="30" t="s">
        <v>214</v>
      </c>
      <c r="D330" s="30" t="s">
        <v>70</v>
      </c>
      <c r="E330" s="30" t="s">
        <v>226</v>
      </c>
      <c r="F330" s="41">
        <f>F331</f>
        <v>1000</v>
      </c>
      <c r="G330" s="41">
        <f>G331</f>
        <v>1200</v>
      </c>
    </row>
    <row r="331" spans="1:7" s="50" customFormat="1" x14ac:dyDescent="0.2">
      <c r="A331" s="84" t="s">
        <v>227</v>
      </c>
      <c r="B331" s="30" t="s">
        <v>731</v>
      </c>
      <c r="C331" s="30" t="s">
        <v>214</v>
      </c>
      <c r="D331" s="30" t="s">
        <v>70</v>
      </c>
      <c r="E331" s="30" t="s">
        <v>228</v>
      </c>
      <c r="F331" s="41">
        <v>1000</v>
      </c>
      <c r="G331" s="41">
        <v>1200</v>
      </c>
    </row>
    <row r="332" spans="1:7" s="50" customFormat="1" x14ac:dyDescent="0.2">
      <c r="A332" s="123" t="s">
        <v>415</v>
      </c>
      <c r="B332" s="25" t="s">
        <v>731</v>
      </c>
      <c r="C332" s="25" t="s">
        <v>214</v>
      </c>
      <c r="D332" s="124" t="s">
        <v>71</v>
      </c>
      <c r="E332" s="25"/>
      <c r="F332" s="45">
        <f>F333</f>
        <v>1000</v>
      </c>
      <c r="G332" s="45">
        <f>G333</f>
        <v>2000</v>
      </c>
    </row>
    <row r="333" spans="1:7" s="50" customFormat="1" x14ac:dyDescent="0.2">
      <c r="A333" s="84" t="s">
        <v>473</v>
      </c>
      <c r="B333" s="30" t="s">
        <v>731</v>
      </c>
      <c r="C333" s="30" t="s">
        <v>214</v>
      </c>
      <c r="D333" s="30" t="s">
        <v>71</v>
      </c>
      <c r="E333" s="30" t="s">
        <v>226</v>
      </c>
      <c r="F333" s="41">
        <f>F334</f>
        <v>1000</v>
      </c>
      <c r="G333" s="41">
        <f>G334</f>
        <v>2000</v>
      </c>
    </row>
    <row r="334" spans="1:7" s="50" customFormat="1" x14ac:dyDescent="0.2">
      <c r="A334" s="84" t="s">
        <v>227</v>
      </c>
      <c r="B334" s="30" t="s">
        <v>731</v>
      </c>
      <c r="C334" s="30" t="s">
        <v>214</v>
      </c>
      <c r="D334" s="30" t="s">
        <v>71</v>
      </c>
      <c r="E334" s="30" t="s">
        <v>228</v>
      </c>
      <c r="F334" s="41">
        <v>1000</v>
      </c>
      <c r="G334" s="41">
        <v>2000</v>
      </c>
    </row>
    <row r="335" spans="1:7" s="50" customFormat="1" ht="27" x14ac:dyDescent="0.2">
      <c r="A335" s="86" t="s">
        <v>549</v>
      </c>
      <c r="B335" s="53" t="s">
        <v>731</v>
      </c>
      <c r="C335" s="53" t="s">
        <v>214</v>
      </c>
      <c r="D335" s="53" t="s">
        <v>444</v>
      </c>
      <c r="E335" s="53"/>
      <c r="F335" s="57">
        <f>F336+F339+F342</f>
        <v>17800</v>
      </c>
      <c r="G335" s="57">
        <f>G336+G339+G342</f>
        <v>9000</v>
      </c>
    </row>
    <row r="336" spans="1:7" s="50" customFormat="1" ht="24" x14ac:dyDescent="0.2">
      <c r="A336" s="80" t="s">
        <v>848</v>
      </c>
      <c r="B336" s="24" t="s">
        <v>731</v>
      </c>
      <c r="C336" s="24" t="s">
        <v>214</v>
      </c>
      <c r="D336" s="24" t="s">
        <v>849</v>
      </c>
      <c r="E336" s="24"/>
      <c r="F336" s="117">
        <f>F337</f>
        <v>1000</v>
      </c>
      <c r="G336" s="117">
        <f>G337</f>
        <v>2000</v>
      </c>
    </row>
    <row r="337" spans="1:7" s="50" customFormat="1" x14ac:dyDescent="0.2">
      <c r="A337" s="84" t="s">
        <v>394</v>
      </c>
      <c r="B337" s="30" t="s">
        <v>731</v>
      </c>
      <c r="C337" s="30" t="s">
        <v>214</v>
      </c>
      <c r="D337" s="30" t="s">
        <v>849</v>
      </c>
      <c r="E337" s="30" t="s">
        <v>733</v>
      </c>
      <c r="F337" s="118">
        <f>F338</f>
        <v>1000</v>
      </c>
      <c r="G337" s="118">
        <f>G338</f>
        <v>2000</v>
      </c>
    </row>
    <row r="338" spans="1:7" s="50" customFormat="1" x14ac:dyDescent="0.2">
      <c r="A338" s="84" t="s">
        <v>734</v>
      </c>
      <c r="B338" s="30" t="s">
        <v>731</v>
      </c>
      <c r="C338" s="30" t="s">
        <v>214</v>
      </c>
      <c r="D338" s="30" t="s">
        <v>849</v>
      </c>
      <c r="E338" s="30" t="s">
        <v>735</v>
      </c>
      <c r="F338" s="118">
        <v>1000</v>
      </c>
      <c r="G338" s="118">
        <v>2000</v>
      </c>
    </row>
    <row r="339" spans="1:7" s="50" customFormat="1" x14ac:dyDescent="0.2">
      <c r="A339" s="75" t="s">
        <v>286</v>
      </c>
      <c r="B339" s="24" t="s">
        <v>731</v>
      </c>
      <c r="C339" s="24" t="s">
        <v>214</v>
      </c>
      <c r="D339" s="24" t="s">
        <v>846</v>
      </c>
      <c r="E339" s="30"/>
      <c r="F339" s="117">
        <f>F340</f>
        <v>3500</v>
      </c>
      <c r="G339" s="117">
        <f>G340</f>
        <v>7000</v>
      </c>
    </row>
    <row r="340" spans="1:7" s="50" customFormat="1" x14ac:dyDescent="0.2">
      <c r="A340" s="84" t="s">
        <v>394</v>
      </c>
      <c r="B340" s="30" t="s">
        <v>731</v>
      </c>
      <c r="C340" s="30" t="s">
        <v>214</v>
      </c>
      <c r="D340" s="30" t="s">
        <v>846</v>
      </c>
      <c r="E340" s="30" t="s">
        <v>733</v>
      </c>
      <c r="F340" s="118">
        <f>F341</f>
        <v>3500</v>
      </c>
      <c r="G340" s="118">
        <f>G341</f>
        <v>7000</v>
      </c>
    </row>
    <row r="341" spans="1:7" s="50" customFormat="1" x14ac:dyDescent="0.2">
      <c r="A341" s="84" t="s">
        <v>734</v>
      </c>
      <c r="B341" s="30" t="s">
        <v>731</v>
      </c>
      <c r="C341" s="30" t="s">
        <v>214</v>
      </c>
      <c r="D341" s="30" t="s">
        <v>846</v>
      </c>
      <c r="E341" s="30" t="s">
        <v>735</v>
      </c>
      <c r="F341" s="118">
        <v>3500</v>
      </c>
      <c r="G341" s="118">
        <v>7000</v>
      </c>
    </row>
    <row r="342" spans="1:7" s="50" customFormat="1" ht="24" x14ac:dyDescent="0.2">
      <c r="A342" s="80" t="s">
        <v>613</v>
      </c>
      <c r="B342" s="24" t="s">
        <v>731</v>
      </c>
      <c r="C342" s="24" t="s">
        <v>214</v>
      </c>
      <c r="D342" s="24" t="s">
        <v>614</v>
      </c>
      <c r="E342" s="24"/>
      <c r="F342" s="42">
        <f>F343</f>
        <v>13300</v>
      </c>
      <c r="G342" s="117">
        <f>G343</f>
        <v>0</v>
      </c>
    </row>
    <row r="343" spans="1:7" s="50" customFormat="1" x14ac:dyDescent="0.2">
      <c r="A343" s="84" t="s">
        <v>394</v>
      </c>
      <c r="B343" s="30" t="s">
        <v>731</v>
      </c>
      <c r="C343" s="30" t="s">
        <v>214</v>
      </c>
      <c r="D343" s="30" t="s">
        <v>614</v>
      </c>
      <c r="E343" s="30" t="s">
        <v>733</v>
      </c>
      <c r="F343" s="41">
        <f>F344</f>
        <v>13300</v>
      </c>
      <c r="G343" s="118">
        <f>G344</f>
        <v>0</v>
      </c>
    </row>
    <row r="344" spans="1:7" s="50" customFormat="1" x14ac:dyDescent="0.2">
      <c r="A344" s="84" t="s">
        <v>734</v>
      </c>
      <c r="B344" s="30" t="s">
        <v>731</v>
      </c>
      <c r="C344" s="30" t="s">
        <v>214</v>
      </c>
      <c r="D344" s="30" t="s">
        <v>614</v>
      </c>
      <c r="E344" s="30" t="s">
        <v>735</v>
      </c>
      <c r="F344" s="41">
        <v>13300</v>
      </c>
      <c r="G344" s="118">
        <v>0</v>
      </c>
    </row>
    <row r="345" spans="1:7" s="50" customFormat="1" x14ac:dyDescent="0.2">
      <c r="A345" s="80" t="s">
        <v>669</v>
      </c>
      <c r="B345" s="24" t="s">
        <v>731</v>
      </c>
      <c r="C345" s="24" t="s">
        <v>825</v>
      </c>
      <c r="D345" s="30"/>
      <c r="E345" s="30"/>
      <c r="F345" s="117">
        <f>F346</f>
        <v>49300</v>
      </c>
      <c r="G345" s="117">
        <f>G346</f>
        <v>16000</v>
      </c>
    </row>
    <row r="346" spans="1:7" s="50" customFormat="1" x14ac:dyDescent="0.2">
      <c r="A346" s="83" t="s">
        <v>670</v>
      </c>
      <c r="B346" s="25" t="s">
        <v>731</v>
      </c>
      <c r="C346" s="25" t="s">
        <v>825</v>
      </c>
      <c r="D346" s="30"/>
      <c r="E346" s="30"/>
      <c r="F346" s="122">
        <f>F347+F369</f>
        <v>49300</v>
      </c>
      <c r="G346" s="122">
        <f>G347+G369</f>
        <v>16000</v>
      </c>
    </row>
    <row r="347" spans="1:7" s="50" customFormat="1" ht="27" x14ac:dyDescent="0.2">
      <c r="A347" s="86" t="s">
        <v>65</v>
      </c>
      <c r="B347" s="53" t="s">
        <v>731</v>
      </c>
      <c r="C347" s="53" t="s">
        <v>825</v>
      </c>
      <c r="D347" s="53" t="s">
        <v>410</v>
      </c>
      <c r="E347" s="25"/>
      <c r="F347" s="57">
        <f>F348+F358+F362+F365</f>
        <v>48800</v>
      </c>
      <c r="G347" s="57">
        <f>G348+G358+G362+G365</f>
        <v>16000</v>
      </c>
    </row>
    <row r="348" spans="1:7" s="50" customFormat="1" ht="27" x14ac:dyDescent="0.2">
      <c r="A348" s="86" t="s">
        <v>274</v>
      </c>
      <c r="B348" s="53" t="s">
        <v>731</v>
      </c>
      <c r="C348" s="53" t="s">
        <v>825</v>
      </c>
      <c r="D348" s="53" t="s">
        <v>416</v>
      </c>
      <c r="E348" s="25"/>
      <c r="F348" s="57">
        <f>F349+F352+F355</f>
        <v>3000</v>
      </c>
      <c r="G348" s="57">
        <f>G349+G352+G355</f>
        <v>3000</v>
      </c>
    </row>
    <row r="349" spans="1:7" s="50" customFormat="1" x14ac:dyDescent="0.2">
      <c r="A349" s="80" t="s">
        <v>587</v>
      </c>
      <c r="B349" s="24" t="s">
        <v>731</v>
      </c>
      <c r="C349" s="24" t="s">
        <v>825</v>
      </c>
      <c r="D349" s="24" t="s">
        <v>588</v>
      </c>
      <c r="E349" s="30"/>
      <c r="F349" s="117">
        <f>F350</f>
        <v>1000</v>
      </c>
      <c r="G349" s="117">
        <f>G350</f>
        <v>1000</v>
      </c>
    </row>
    <row r="350" spans="1:7" s="50" customFormat="1" ht="24" x14ac:dyDescent="0.2">
      <c r="A350" s="84" t="s">
        <v>732</v>
      </c>
      <c r="B350" s="52" t="s">
        <v>731</v>
      </c>
      <c r="C350" s="52" t="s">
        <v>825</v>
      </c>
      <c r="D350" s="30" t="s">
        <v>588</v>
      </c>
      <c r="E350" s="30" t="s">
        <v>733</v>
      </c>
      <c r="F350" s="118">
        <f>F351</f>
        <v>1000</v>
      </c>
      <c r="G350" s="118">
        <f>G351</f>
        <v>1000</v>
      </c>
    </row>
    <row r="351" spans="1:7" s="50" customFormat="1" x14ac:dyDescent="0.2">
      <c r="A351" s="84" t="s">
        <v>734</v>
      </c>
      <c r="B351" s="30" t="s">
        <v>731</v>
      </c>
      <c r="C351" s="30" t="s">
        <v>825</v>
      </c>
      <c r="D351" s="30" t="s">
        <v>588</v>
      </c>
      <c r="E351" s="30" t="s">
        <v>735</v>
      </c>
      <c r="F351" s="118">
        <v>1000</v>
      </c>
      <c r="G351" s="118">
        <v>1000</v>
      </c>
    </row>
    <row r="352" spans="1:7" s="50" customFormat="1" ht="24" x14ac:dyDescent="0.2">
      <c r="A352" s="80" t="s">
        <v>717</v>
      </c>
      <c r="B352" s="24" t="s">
        <v>731</v>
      </c>
      <c r="C352" s="24" t="s">
        <v>825</v>
      </c>
      <c r="D352" s="24" t="s">
        <v>76</v>
      </c>
      <c r="E352" s="24"/>
      <c r="F352" s="117">
        <f>F353</f>
        <v>1000</v>
      </c>
      <c r="G352" s="117">
        <f>G353</f>
        <v>1000</v>
      </c>
    </row>
    <row r="353" spans="1:7" s="50" customFormat="1" x14ac:dyDescent="0.2">
      <c r="A353" s="84" t="s">
        <v>473</v>
      </c>
      <c r="B353" s="30" t="s">
        <v>731</v>
      </c>
      <c r="C353" s="30" t="s">
        <v>825</v>
      </c>
      <c r="D353" s="30" t="s">
        <v>76</v>
      </c>
      <c r="E353" s="30" t="s">
        <v>226</v>
      </c>
      <c r="F353" s="118">
        <f>F354</f>
        <v>1000</v>
      </c>
      <c r="G353" s="118">
        <f>G354</f>
        <v>1000</v>
      </c>
    </row>
    <row r="354" spans="1:7" s="50" customFormat="1" x14ac:dyDescent="0.2">
      <c r="A354" s="84" t="s">
        <v>227</v>
      </c>
      <c r="B354" s="30" t="s">
        <v>731</v>
      </c>
      <c r="C354" s="30" t="s">
        <v>825</v>
      </c>
      <c r="D354" s="30" t="s">
        <v>76</v>
      </c>
      <c r="E354" s="30" t="s">
        <v>228</v>
      </c>
      <c r="F354" s="118">
        <v>1000</v>
      </c>
      <c r="G354" s="118">
        <v>1000</v>
      </c>
    </row>
    <row r="355" spans="1:7" s="50" customFormat="1" ht="24" x14ac:dyDescent="0.2">
      <c r="A355" s="80" t="s">
        <v>77</v>
      </c>
      <c r="B355" s="24" t="s">
        <v>731</v>
      </c>
      <c r="C355" s="24" t="s">
        <v>825</v>
      </c>
      <c r="D355" s="24" t="s">
        <v>78</v>
      </c>
      <c r="E355" s="24"/>
      <c r="F355" s="117">
        <f>F356</f>
        <v>1000</v>
      </c>
      <c r="G355" s="117">
        <f>G356</f>
        <v>1000</v>
      </c>
    </row>
    <row r="356" spans="1:7" s="50" customFormat="1" x14ac:dyDescent="0.2">
      <c r="A356" s="84" t="s">
        <v>473</v>
      </c>
      <c r="B356" s="30" t="s">
        <v>731</v>
      </c>
      <c r="C356" s="30" t="s">
        <v>825</v>
      </c>
      <c r="D356" s="30" t="s">
        <v>78</v>
      </c>
      <c r="E356" s="30" t="s">
        <v>226</v>
      </c>
      <c r="F356" s="118">
        <f>F357</f>
        <v>1000</v>
      </c>
      <c r="G356" s="118">
        <f>G357</f>
        <v>1000</v>
      </c>
    </row>
    <row r="357" spans="1:7" s="50" customFormat="1" x14ac:dyDescent="0.2">
      <c r="A357" s="84" t="s">
        <v>227</v>
      </c>
      <c r="B357" s="30" t="s">
        <v>731</v>
      </c>
      <c r="C357" s="30" t="s">
        <v>825</v>
      </c>
      <c r="D357" s="30" t="s">
        <v>78</v>
      </c>
      <c r="E357" s="30" t="s">
        <v>228</v>
      </c>
      <c r="F357" s="118">
        <v>1000</v>
      </c>
      <c r="G357" s="118">
        <v>1000</v>
      </c>
    </row>
    <row r="358" spans="1:7" s="50" customFormat="1" ht="24" x14ac:dyDescent="0.2">
      <c r="A358" s="80" t="s">
        <v>719</v>
      </c>
      <c r="B358" s="24" t="s">
        <v>731</v>
      </c>
      <c r="C358" s="24" t="s">
        <v>825</v>
      </c>
      <c r="D358" s="24" t="s">
        <v>308</v>
      </c>
      <c r="E358" s="30"/>
      <c r="F358" s="42">
        <f t="shared" ref="F358:G360" si="8">F359</f>
        <v>30800</v>
      </c>
      <c r="G358" s="42">
        <f t="shared" si="8"/>
        <v>10000</v>
      </c>
    </row>
    <row r="359" spans="1:7" s="50" customFormat="1" ht="24" x14ac:dyDescent="0.2">
      <c r="A359" s="83" t="s">
        <v>720</v>
      </c>
      <c r="B359" s="25" t="s">
        <v>731</v>
      </c>
      <c r="C359" s="25" t="s">
        <v>825</v>
      </c>
      <c r="D359" s="25" t="s">
        <v>74</v>
      </c>
      <c r="E359" s="33"/>
      <c r="F359" s="45">
        <f t="shared" si="8"/>
        <v>30800</v>
      </c>
      <c r="G359" s="45">
        <f t="shared" si="8"/>
        <v>10000</v>
      </c>
    </row>
    <row r="360" spans="1:7" s="50" customFormat="1" ht="24" x14ac:dyDescent="0.2">
      <c r="A360" s="84" t="s">
        <v>732</v>
      </c>
      <c r="B360" s="52" t="s">
        <v>731</v>
      </c>
      <c r="C360" s="52" t="s">
        <v>825</v>
      </c>
      <c r="D360" s="30" t="s">
        <v>74</v>
      </c>
      <c r="E360" s="30" t="s">
        <v>733</v>
      </c>
      <c r="F360" s="41">
        <f t="shared" si="8"/>
        <v>30800</v>
      </c>
      <c r="G360" s="41">
        <f t="shared" si="8"/>
        <v>10000</v>
      </c>
    </row>
    <row r="361" spans="1:7" s="50" customFormat="1" x14ac:dyDescent="0.2">
      <c r="A361" s="84" t="s">
        <v>734</v>
      </c>
      <c r="B361" s="30" t="s">
        <v>731</v>
      </c>
      <c r="C361" s="30" t="s">
        <v>825</v>
      </c>
      <c r="D361" s="30" t="s">
        <v>74</v>
      </c>
      <c r="E361" s="30" t="s">
        <v>735</v>
      </c>
      <c r="F361" s="41">
        <v>30800</v>
      </c>
      <c r="G361" s="41">
        <v>10000</v>
      </c>
    </row>
    <row r="362" spans="1:7" s="50" customFormat="1" x14ac:dyDescent="0.2">
      <c r="A362" s="80" t="s">
        <v>309</v>
      </c>
      <c r="B362" s="24" t="s">
        <v>731</v>
      </c>
      <c r="C362" s="24" t="s">
        <v>825</v>
      </c>
      <c r="D362" s="24" t="s">
        <v>75</v>
      </c>
      <c r="E362" s="24"/>
      <c r="F362" s="42">
        <f>F363</f>
        <v>10000</v>
      </c>
      <c r="G362" s="42">
        <f>G363</f>
        <v>1000</v>
      </c>
    </row>
    <row r="363" spans="1:7" s="50" customFormat="1" x14ac:dyDescent="0.2">
      <c r="A363" s="84" t="s">
        <v>473</v>
      </c>
      <c r="B363" s="30" t="s">
        <v>731</v>
      </c>
      <c r="C363" s="30" t="s">
        <v>825</v>
      </c>
      <c r="D363" s="30" t="s">
        <v>75</v>
      </c>
      <c r="E363" s="30" t="s">
        <v>226</v>
      </c>
      <c r="F363" s="41">
        <f>F364</f>
        <v>10000</v>
      </c>
      <c r="G363" s="41">
        <f>G364</f>
        <v>1000</v>
      </c>
    </row>
    <row r="364" spans="1:7" s="50" customFormat="1" x14ac:dyDescent="0.2">
      <c r="A364" s="84" t="s">
        <v>227</v>
      </c>
      <c r="B364" s="30" t="s">
        <v>731</v>
      </c>
      <c r="C364" s="30" t="s">
        <v>825</v>
      </c>
      <c r="D364" s="30" t="s">
        <v>75</v>
      </c>
      <c r="E364" s="30" t="s">
        <v>228</v>
      </c>
      <c r="F364" s="41">
        <v>10000</v>
      </c>
      <c r="G364" s="41">
        <v>1000</v>
      </c>
    </row>
    <row r="365" spans="1:7" s="50" customFormat="1" x14ac:dyDescent="0.2">
      <c r="A365" s="80" t="s">
        <v>754</v>
      </c>
      <c r="B365" s="24" t="s">
        <v>731</v>
      </c>
      <c r="C365" s="24" t="s">
        <v>825</v>
      </c>
      <c r="D365" s="24" t="s">
        <v>276</v>
      </c>
      <c r="E365" s="30"/>
      <c r="F365" s="117">
        <f t="shared" ref="F365:G367" si="9">F366</f>
        <v>5000</v>
      </c>
      <c r="G365" s="117">
        <f t="shared" si="9"/>
        <v>2000</v>
      </c>
    </row>
    <row r="366" spans="1:7" s="50" customFormat="1" x14ac:dyDescent="0.2">
      <c r="A366" s="83" t="s">
        <v>589</v>
      </c>
      <c r="B366" s="25" t="s">
        <v>731</v>
      </c>
      <c r="C366" s="25" t="s">
        <v>825</v>
      </c>
      <c r="D366" s="25" t="s">
        <v>590</v>
      </c>
      <c r="E366" s="25"/>
      <c r="F366" s="122">
        <f t="shared" si="9"/>
        <v>5000</v>
      </c>
      <c r="G366" s="122">
        <f t="shared" si="9"/>
        <v>2000</v>
      </c>
    </row>
    <row r="367" spans="1:7" s="50" customFormat="1" x14ac:dyDescent="0.2">
      <c r="A367" s="84" t="s">
        <v>473</v>
      </c>
      <c r="B367" s="30" t="s">
        <v>731</v>
      </c>
      <c r="C367" s="30" t="s">
        <v>825</v>
      </c>
      <c r="D367" s="30" t="s">
        <v>590</v>
      </c>
      <c r="E367" s="30" t="s">
        <v>226</v>
      </c>
      <c r="F367" s="118">
        <f t="shared" si="9"/>
        <v>5000</v>
      </c>
      <c r="G367" s="118">
        <f t="shared" si="9"/>
        <v>2000</v>
      </c>
    </row>
    <row r="368" spans="1:7" s="50" customFormat="1" x14ac:dyDescent="0.2">
      <c r="A368" s="84" t="s">
        <v>227</v>
      </c>
      <c r="B368" s="30" t="s">
        <v>731</v>
      </c>
      <c r="C368" s="30" t="s">
        <v>825</v>
      </c>
      <c r="D368" s="30" t="s">
        <v>590</v>
      </c>
      <c r="E368" s="30" t="s">
        <v>228</v>
      </c>
      <c r="F368" s="118">
        <v>5000</v>
      </c>
      <c r="G368" s="118">
        <v>2000</v>
      </c>
    </row>
    <row r="369" spans="1:7" s="50" customFormat="1" ht="27" x14ac:dyDescent="0.2">
      <c r="A369" s="86" t="s">
        <v>549</v>
      </c>
      <c r="B369" s="53" t="s">
        <v>731</v>
      </c>
      <c r="C369" s="53" t="s">
        <v>825</v>
      </c>
      <c r="D369" s="53" t="s">
        <v>444</v>
      </c>
      <c r="E369" s="53"/>
      <c r="F369" s="57">
        <f t="shared" ref="F369:G371" si="10">F370</f>
        <v>500</v>
      </c>
      <c r="G369" s="57">
        <f t="shared" si="10"/>
        <v>0</v>
      </c>
    </row>
    <row r="370" spans="1:7" s="50" customFormat="1" x14ac:dyDescent="0.2">
      <c r="A370" s="75" t="s">
        <v>286</v>
      </c>
      <c r="B370" s="24" t="s">
        <v>731</v>
      </c>
      <c r="C370" s="24" t="s">
        <v>825</v>
      </c>
      <c r="D370" s="106" t="s">
        <v>846</v>
      </c>
      <c r="E370" s="24"/>
      <c r="F370" s="42">
        <f t="shared" si="10"/>
        <v>500</v>
      </c>
      <c r="G370" s="117">
        <f t="shared" si="10"/>
        <v>0</v>
      </c>
    </row>
    <row r="371" spans="1:7" s="50" customFormat="1" x14ac:dyDescent="0.2">
      <c r="A371" s="84" t="s">
        <v>394</v>
      </c>
      <c r="B371" s="30" t="s">
        <v>731</v>
      </c>
      <c r="C371" s="30" t="s">
        <v>825</v>
      </c>
      <c r="D371" s="30" t="s">
        <v>846</v>
      </c>
      <c r="E371" s="30" t="s">
        <v>733</v>
      </c>
      <c r="F371" s="41">
        <f t="shared" si="10"/>
        <v>500</v>
      </c>
      <c r="G371" s="118">
        <f t="shared" si="10"/>
        <v>0</v>
      </c>
    </row>
    <row r="372" spans="1:7" s="50" customFormat="1" x14ac:dyDescent="0.2">
      <c r="A372" s="84" t="s">
        <v>734</v>
      </c>
      <c r="B372" s="30" t="s">
        <v>731</v>
      </c>
      <c r="C372" s="30" t="s">
        <v>825</v>
      </c>
      <c r="D372" s="30" t="s">
        <v>846</v>
      </c>
      <c r="E372" s="30" t="s">
        <v>735</v>
      </c>
      <c r="F372" s="41">
        <v>500</v>
      </c>
      <c r="G372" s="118">
        <v>0</v>
      </c>
    </row>
    <row r="373" spans="1:7" s="50" customFormat="1" x14ac:dyDescent="0.2">
      <c r="A373" s="80" t="s">
        <v>671</v>
      </c>
      <c r="B373" s="24" t="s">
        <v>731</v>
      </c>
      <c r="C373" s="24" t="s">
        <v>817</v>
      </c>
      <c r="D373" s="40"/>
      <c r="E373" s="30"/>
      <c r="F373" s="42">
        <f>F374+F402+F413+F423</f>
        <v>407635.4</v>
      </c>
      <c r="G373" s="42">
        <f>G374+G402+G413+G423</f>
        <v>396600</v>
      </c>
    </row>
    <row r="374" spans="1:7" s="50" customFormat="1" ht="27" x14ac:dyDescent="0.2">
      <c r="A374" s="86" t="s">
        <v>439</v>
      </c>
      <c r="B374" s="53" t="s">
        <v>731</v>
      </c>
      <c r="C374" s="53" t="s">
        <v>817</v>
      </c>
      <c r="D374" s="93" t="s">
        <v>425</v>
      </c>
      <c r="E374" s="53"/>
      <c r="F374" s="57">
        <f>F375+F378+F381+F384+F387+F390+F393+F396+F399</f>
        <v>267635.40000000002</v>
      </c>
      <c r="G374" s="57">
        <f>G375+G378+G381+G384+G387+G390+G393+G396+G399</f>
        <v>266600</v>
      </c>
    </row>
    <row r="375" spans="1:7" s="50" customFormat="1" x14ac:dyDescent="0.2">
      <c r="A375" s="75" t="s">
        <v>10</v>
      </c>
      <c r="B375" s="24" t="s">
        <v>731</v>
      </c>
      <c r="C375" s="24" t="s">
        <v>817</v>
      </c>
      <c r="D375" s="24" t="s">
        <v>55</v>
      </c>
      <c r="E375" s="24"/>
      <c r="F375" s="42">
        <f>F376</f>
        <v>5000</v>
      </c>
      <c r="G375" s="42">
        <f>G376</f>
        <v>5000</v>
      </c>
    </row>
    <row r="376" spans="1:7" s="50" customFormat="1" x14ac:dyDescent="0.2">
      <c r="A376" s="84" t="s">
        <v>473</v>
      </c>
      <c r="B376" s="30" t="s">
        <v>731</v>
      </c>
      <c r="C376" s="30" t="s">
        <v>817</v>
      </c>
      <c r="D376" s="30" t="s">
        <v>55</v>
      </c>
      <c r="E376" s="30" t="s">
        <v>226</v>
      </c>
      <c r="F376" s="41">
        <f>F377</f>
        <v>5000</v>
      </c>
      <c r="G376" s="41">
        <f>G377</f>
        <v>5000</v>
      </c>
    </row>
    <row r="377" spans="1:7" s="50" customFormat="1" x14ac:dyDescent="0.2">
      <c r="A377" s="84" t="s">
        <v>227</v>
      </c>
      <c r="B377" s="30" t="s">
        <v>731</v>
      </c>
      <c r="C377" s="30" t="s">
        <v>817</v>
      </c>
      <c r="D377" s="30" t="s">
        <v>55</v>
      </c>
      <c r="E377" s="30" t="s">
        <v>228</v>
      </c>
      <c r="F377" s="41">
        <v>5000</v>
      </c>
      <c r="G377" s="41">
        <v>5000</v>
      </c>
    </row>
    <row r="378" spans="1:7" s="50" customFormat="1" x14ac:dyDescent="0.2">
      <c r="A378" s="75" t="s">
        <v>557</v>
      </c>
      <c r="B378" s="24" t="s">
        <v>731</v>
      </c>
      <c r="C378" s="24" t="s">
        <v>817</v>
      </c>
      <c r="D378" s="24" t="s">
        <v>56</v>
      </c>
      <c r="E378" s="24"/>
      <c r="F378" s="42">
        <f>F379</f>
        <v>1000</v>
      </c>
      <c r="G378" s="42">
        <f>G379</f>
        <v>1000</v>
      </c>
    </row>
    <row r="379" spans="1:7" s="50" customFormat="1" x14ac:dyDescent="0.2">
      <c r="A379" s="84" t="s">
        <v>473</v>
      </c>
      <c r="B379" s="30" t="s">
        <v>731</v>
      </c>
      <c r="C379" s="30" t="s">
        <v>817</v>
      </c>
      <c r="D379" s="30" t="s">
        <v>56</v>
      </c>
      <c r="E379" s="30" t="s">
        <v>226</v>
      </c>
      <c r="F379" s="41">
        <f>F380</f>
        <v>1000</v>
      </c>
      <c r="G379" s="41">
        <f>G380</f>
        <v>1000</v>
      </c>
    </row>
    <row r="380" spans="1:7" s="50" customFormat="1" x14ac:dyDescent="0.2">
      <c r="A380" s="84" t="s">
        <v>227</v>
      </c>
      <c r="B380" s="30" t="s">
        <v>731</v>
      </c>
      <c r="C380" s="30" t="s">
        <v>817</v>
      </c>
      <c r="D380" s="30" t="s">
        <v>56</v>
      </c>
      <c r="E380" s="30" t="s">
        <v>228</v>
      </c>
      <c r="F380" s="41">
        <v>1000</v>
      </c>
      <c r="G380" s="41">
        <v>1000</v>
      </c>
    </row>
    <row r="381" spans="1:7" s="50" customFormat="1" x14ac:dyDescent="0.2">
      <c r="A381" s="80" t="s">
        <v>558</v>
      </c>
      <c r="B381" s="24" t="s">
        <v>731</v>
      </c>
      <c r="C381" s="24" t="s">
        <v>817</v>
      </c>
      <c r="D381" s="24" t="s">
        <v>57</v>
      </c>
      <c r="E381" s="24"/>
      <c r="F381" s="42">
        <f>F382</f>
        <v>1000</v>
      </c>
      <c r="G381" s="42">
        <f>G382</f>
        <v>1000</v>
      </c>
    </row>
    <row r="382" spans="1:7" s="50" customFormat="1" x14ac:dyDescent="0.2">
      <c r="A382" s="84" t="s">
        <v>473</v>
      </c>
      <c r="B382" s="30" t="s">
        <v>731</v>
      </c>
      <c r="C382" s="30" t="s">
        <v>817</v>
      </c>
      <c r="D382" s="30" t="s">
        <v>57</v>
      </c>
      <c r="E382" s="30" t="s">
        <v>226</v>
      </c>
      <c r="F382" s="41">
        <f>F383</f>
        <v>1000</v>
      </c>
      <c r="G382" s="41">
        <f>G383</f>
        <v>1000</v>
      </c>
    </row>
    <row r="383" spans="1:7" s="50" customFormat="1" x14ac:dyDescent="0.2">
      <c r="A383" s="84" t="s">
        <v>227</v>
      </c>
      <c r="B383" s="30" t="s">
        <v>731</v>
      </c>
      <c r="C383" s="30" t="s">
        <v>817</v>
      </c>
      <c r="D383" s="30" t="s">
        <v>57</v>
      </c>
      <c r="E383" s="30" t="s">
        <v>228</v>
      </c>
      <c r="F383" s="41">
        <v>1000</v>
      </c>
      <c r="G383" s="41">
        <v>1000</v>
      </c>
    </row>
    <row r="384" spans="1:7" s="50" customFormat="1" ht="24" x14ac:dyDescent="0.2">
      <c r="A384" s="75" t="s">
        <v>535</v>
      </c>
      <c r="B384" s="24" t="s">
        <v>731</v>
      </c>
      <c r="C384" s="24" t="s">
        <v>817</v>
      </c>
      <c r="D384" s="24" t="s">
        <v>58</v>
      </c>
      <c r="E384" s="24"/>
      <c r="F384" s="42">
        <f>F385</f>
        <v>2500</v>
      </c>
      <c r="G384" s="42">
        <f>G385</f>
        <v>2500</v>
      </c>
    </row>
    <row r="385" spans="1:7" s="50" customFormat="1" x14ac:dyDescent="0.2">
      <c r="A385" s="84" t="s">
        <v>473</v>
      </c>
      <c r="B385" s="30" t="s">
        <v>731</v>
      </c>
      <c r="C385" s="30" t="s">
        <v>817</v>
      </c>
      <c r="D385" s="30" t="s">
        <v>58</v>
      </c>
      <c r="E385" s="30" t="s">
        <v>226</v>
      </c>
      <c r="F385" s="41">
        <f>F386</f>
        <v>2500</v>
      </c>
      <c r="G385" s="41">
        <f>G386</f>
        <v>2500</v>
      </c>
    </row>
    <row r="386" spans="1:7" s="50" customFormat="1" x14ac:dyDescent="0.2">
      <c r="A386" s="84" t="s">
        <v>227</v>
      </c>
      <c r="B386" s="30" t="s">
        <v>731</v>
      </c>
      <c r="C386" s="30" t="s">
        <v>817</v>
      </c>
      <c r="D386" s="30" t="s">
        <v>58</v>
      </c>
      <c r="E386" s="30" t="s">
        <v>228</v>
      </c>
      <c r="F386" s="41">
        <v>2500</v>
      </c>
      <c r="G386" s="41">
        <v>2500</v>
      </c>
    </row>
    <row r="387" spans="1:7" s="50" customFormat="1" x14ac:dyDescent="0.2">
      <c r="A387" s="76" t="s">
        <v>536</v>
      </c>
      <c r="B387" s="24" t="s">
        <v>731</v>
      </c>
      <c r="C387" s="24" t="s">
        <v>817</v>
      </c>
      <c r="D387" s="37" t="s">
        <v>59</v>
      </c>
      <c r="E387" s="37"/>
      <c r="F387" s="42">
        <f>F388</f>
        <v>1000</v>
      </c>
      <c r="G387" s="42">
        <f>G388</f>
        <v>1000</v>
      </c>
    </row>
    <row r="388" spans="1:7" s="50" customFormat="1" x14ac:dyDescent="0.2">
      <c r="A388" s="84" t="s">
        <v>322</v>
      </c>
      <c r="B388" s="30" t="s">
        <v>731</v>
      </c>
      <c r="C388" s="30" t="s">
        <v>817</v>
      </c>
      <c r="D388" s="31" t="s">
        <v>59</v>
      </c>
      <c r="E388" s="30" t="s">
        <v>226</v>
      </c>
      <c r="F388" s="41">
        <f>F389</f>
        <v>1000</v>
      </c>
      <c r="G388" s="41">
        <f>G389</f>
        <v>1000</v>
      </c>
    </row>
    <row r="389" spans="1:7" s="50" customFormat="1" x14ac:dyDescent="0.2">
      <c r="A389" s="84" t="s">
        <v>227</v>
      </c>
      <c r="B389" s="30" t="s">
        <v>731</v>
      </c>
      <c r="C389" s="30" t="s">
        <v>817</v>
      </c>
      <c r="D389" s="31" t="s">
        <v>59</v>
      </c>
      <c r="E389" s="30" t="s">
        <v>228</v>
      </c>
      <c r="F389" s="41">
        <v>1000</v>
      </c>
      <c r="G389" s="41">
        <v>1000</v>
      </c>
    </row>
    <row r="390" spans="1:7" s="50" customFormat="1" x14ac:dyDescent="0.2">
      <c r="A390" s="87" t="s">
        <v>409</v>
      </c>
      <c r="B390" s="24" t="s">
        <v>731</v>
      </c>
      <c r="C390" s="24" t="s">
        <v>817</v>
      </c>
      <c r="D390" s="24" t="s">
        <v>60</v>
      </c>
      <c r="E390" s="24"/>
      <c r="F390" s="42">
        <f>F391</f>
        <v>50000</v>
      </c>
      <c r="G390" s="42">
        <f>G391</f>
        <v>50000</v>
      </c>
    </row>
    <row r="391" spans="1:7" s="50" customFormat="1" x14ac:dyDescent="0.2">
      <c r="A391" s="84" t="s">
        <v>473</v>
      </c>
      <c r="B391" s="30" t="s">
        <v>731</v>
      </c>
      <c r="C391" s="30" t="s">
        <v>817</v>
      </c>
      <c r="D391" s="30" t="s">
        <v>60</v>
      </c>
      <c r="E391" s="30" t="s">
        <v>226</v>
      </c>
      <c r="F391" s="41">
        <f>F392</f>
        <v>50000</v>
      </c>
      <c r="G391" s="41">
        <f>G392</f>
        <v>50000</v>
      </c>
    </row>
    <row r="392" spans="1:7" s="50" customFormat="1" x14ac:dyDescent="0.2">
      <c r="A392" s="84" t="s">
        <v>227</v>
      </c>
      <c r="B392" s="30" t="s">
        <v>731</v>
      </c>
      <c r="C392" s="30" t="s">
        <v>817</v>
      </c>
      <c r="D392" s="30" t="s">
        <v>60</v>
      </c>
      <c r="E392" s="30" t="s">
        <v>228</v>
      </c>
      <c r="F392" s="41">
        <v>50000</v>
      </c>
      <c r="G392" s="41">
        <v>50000</v>
      </c>
    </row>
    <row r="393" spans="1:7" s="50" customFormat="1" ht="24" x14ac:dyDescent="0.2">
      <c r="A393" s="80" t="s">
        <v>543</v>
      </c>
      <c r="B393" s="24" t="s">
        <v>731</v>
      </c>
      <c r="C393" s="24" t="s">
        <v>817</v>
      </c>
      <c r="D393" s="24" t="s">
        <v>62</v>
      </c>
      <c r="E393" s="24"/>
      <c r="F393" s="42">
        <f>F394</f>
        <v>500</v>
      </c>
      <c r="G393" s="42">
        <f>G394</f>
        <v>500</v>
      </c>
    </row>
    <row r="394" spans="1:7" s="50" customFormat="1" x14ac:dyDescent="0.2">
      <c r="A394" s="84" t="s">
        <v>473</v>
      </c>
      <c r="B394" s="30" t="s">
        <v>731</v>
      </c>
      <c r="C394" s="30" t="s">
        <v>817</v>
      </c>
      <c r="D394" s="30" t="s">
        <v>62</v>
      </c>
      <c r="E394" s="30" t="s">
        <v>226</v>
      </c>
      <c r="F394" s="41">
        <f>F395</f>
        <v>500</v>
      </c>
      <c r="G394" s="41">
        <f>G395</f>
        <v>500</v>
      </c>
    </row>
    <row r="395" spans="1:7" s="50" customFormat="1" x14ac:dyDescent="0.2">
      <c r="A395" s="84" t="s">
        <v>227</v>
      </c>
      <c r="B395" s="30" t="s">
        <v>731</v>
      </c>
      <c r="C395" s="30" t="s">
        <v>817</v>
      </c>
      <c r="D395" s="30" t="s">
        <v>62</v>
      </c>
      <c r="E395" s="30" t="s">
        <v>228</v>
      </c>
      <c r="F395" s="41">
        <v>500</v>
      </c>
      <c r="G395" s="41">
        <v>500</v>
      </c>
    </row>
    <row r="396" spans="1:7" s="50" customFormat="1" ht="24" x14ac:dyDescent="0.2">
      <c r="A396" s="80" t="s">
        <v>431</v>
      </c>
      <c r="B396" s="24" t="s">
        <v>731</v>
      </c>
      <c r="C396" s="24" t="s">
        <v>817</v>
      </c>
      <c r="D396" s="24" t="s">
        <v>64</v>
      </c>
      <c r="E396" s="24"/>
      <c r="F396" s="42">
        <f>F397</f>
        <v>161600</v>
      </c>
      <c r="G396" s="42">
        <f>G397</f>
        <v>161600</v>
      </c>
    </row>
    <row r="397" spans="1:7" s="50" customFormat="1" ht="24" x14ac:dyDescent="0.2">
      <c r="A397" s="84" t="s">
        <v>246</v>
      </c>
      <c r="B397" s="30" t="s">
        <v>731</v>
      </c>
      <c r="C397" s="30" t="s">
        <v>817</v>
      </c>
      <c r="D397" s="30" t="s">
        <v>64</v>
      </c>
      <c r="E397" s="30" t="s">
        <v>702</v>
      </c>
      <c r="F397" s="41">
        <f>F398</f>
        <v>161600</v>
      </c>
      <c r="G397" s="41">
        <f>G398</f>
        <v>161600</v>
      </c>
    </row>
    <row r="398" spans="1:7" s="50" customFormat="1" x14ac:dyDescent="0.2">
      <c r="A398" s="84" t="s">
        <v>247</v>
      </c>
      <c r="B398" s="30" t="s">
        <v>731</v>
      </c>
      <c r="C398" s="30" t="s">
        <v>817</v>
      </c>
      <c r="D398" s="30" t="s">
        <v>64</v>
      </c>
      <c r="E398" s="30" t="s">
        <v>724</v>
      </c>
      <c r="F398" s="41">
        <f>155000+6600</f>
        <v>161600</v>
      </c>
      <c r="G398" s="41">
        <f>155000+6600</f>
        <v>161600</v>
      </c>
    </row>
    <row r="399" spans="1:7" s="50" customFormat="1" x14ac:dyDescent="0.2">
      <c r="A399" s="80" t="s">
        <v>418</v>
      </c>
      <c r="B399" s="24" t="s">
        <v>731</v>
      </c>
      <c r="C399" s="24" t="s">
        <v>817</v>
      </c>
      <c r="D399" s="24" t="s">
        <v>41</v>
      </c>
      <c r="E399" s="24"/>
      <c r="F399" s="117">
        <f>F400</f>
        <v>45035.4</v>
      </c>
      <c r="G399" s="117">
        <f>G400</f>
        <v>44000</v>
      </c>
    </row>
    <row r="400" spans="1:7" s="50" customFormat="1" x14ac:dyDescent="0.2">
      <c r="A400" s="84" t="s">
        <v>473</v>
      </c>
      <c r="B400" s="30" t="s">
        <v>731</v>
      </c>
      <c r="C400" s="30" t="s">
        <v>817</v>
      </c>
      <c r="D400" s="30" t="s">
        <v>41</v>
      </c>
      <c r="E400" s="30" t="s">
        <v>226</v>
      </c>
      <c r="F400" s="118">
        <f>F401</f>
        <v>45035.4</v>
      </c>
      <c r="G400" s="118">
        <f>G401</f>
        <v>44000</v>
      </c>
    </row>
    <row r="401" spans="1:7" s="50" customFormat="1" x14ac:dyDescent="0.2">
      <c r="A401" s="84" t="s">
        <v>227</v>
      </c>
      <c r="B401" s="30" t="s">
        <v>731</v>
      </c>
      <c r="C401" s="30" t="s">
        <v>817</v>
      </c>
      <c r="D401" s="30" t="s">
        <v>41</v>
      </c>
      <c r="E401" s="30" t="s">
        <v>228</v>
      </c>
      <c r="F401" s="118">
        <v>45035.4</v>
      </c>
      <c r="G401" s="118">
        <v>44000</v>
      </c>
    </row>
    <row r="402" spans="1:7" s="50" customFormat="1" ht="27" x14ac:dyDescent="0.2">
      <c r="A402" s="86" t="s">
        <v>65</v>
      </c>
      <c r="B402" s="53" t="s">
        <v>731</v>
      </c>
      <c r="C402" s="53" t="s">
        <v>817</v>
      </c>
      <c r="D402" s="53" t="s">
        <v>410</v>
      </c>
      <c r="E402" s="53"/>
      <c r="F402" s="57">
        <f>F403</f>
        <v>125500</v>
      </c>
      <c r="G402" s="57">
        <f>G403</f>
        <v>116500</v>
      </c>
    </row>
    <row r="403" spans="1:7" s="50" customFormat="1" x14ac:dyDescent="0.2">
      <c r="A403" s="80" t="s">
        <v>754</v>
      </c>
      <c r="B403" s="24" t="s">
        <v>731</v>
      </c>
      <c r="C403" s="24" t="s">
        <v>817</v>
      </c>
      <c r="D403" s="24" t="s">
        <v>276</v>
      </c>
      <c r="E403" s="24"/>
      <c r="F403" s="42">
        <f>F404+F407+F410</f>
        <v>125500</v>
      </c>
      <c r="G403" s="42">
        <f>G404+G407+G410</f>
        <v>116500</v>
      </c>
    </row>
    <row r="404" spans="1:7" s="50" customFormat="1" x14ac:dyDescent="0.2">
      <c r="A404" s="83" t="s">
        <v>198</v>
      </c>
      <c r="B404" s="25" t="s">
        <v>731</v>
      </c>
      <c r="C404" s="25" t="s">
        <v>817</v>
      </c>
      <c r="D404" s="25" t="s">
        <v>79</v>
      </c>
      <c r="E404" s="33"/>
      <c r="F404" s="45">
        <f>F405</f>
        <v>21500</v>
      </c>
      <c r="G404" s="45">
        <f>G405</f>
        <v>21500</v>
      </c>
    </row>
    <row r="405" spans="1:7" s="50" customFormat="1" ht="24" x14ac:dyDescent="0.2">
      <c r="A405" s="84" t="s">
        <v>246</v>
      </c>
      <c r="B405" s="30" t="s">
        <v>731</v>
      </c>
      <c r="C405" s="30" t="s">
        <v>817</v>
      </c>
      <c r="D405" s="30" t="s">
        <v>79</v>
      </c>
      <c r="E405" s="30" t="s">
        <v>702</v>
      </c>
      <c r="F405" s="41">
        <f>F406</f>
        <v>21500</v>
      </c>
      <c r="G405" s="41">
        <f>G406</f>
        <v>21500</v>
      </c>
    </row>
    <row r="406" spans="1:7" s="50" customFormat="1" x14ac:dyDescent="0.2">
      <c r="A406" s="84" t="s">
        <v>247</v>
      </c>
      <c r="B406" s="30" t="s">
        <v>731</v>
      </c>
      <c r="C406" s="30" t="s">
        <v>817</v>
      </c>
      <c r="D406" s="30" t="s">
        <v>79</v>
      </c>
      <c r="E406" s="30" t="s">
        <v>724</v>
      </c>
      <c r="F406" s="41">
        <v>21500</v>
      </c>
      <c r="G406" s="41">
        <v>21500</v>
      </c>
    </row>
    <row r="407" spans="1:7" s="50" customFormat="1" x14ac:dyDescent="0.2">
      <c r="A407" s="83" t="s">
        <v>417</v>
      </c>
      <c r="B407" s="25" t="s">
        <v>731</v>
      </c>
      <c r="C407" s="25" t="s">
        <v>817</v>
      </c>
      <c r="D407" s="25" t="s">
        <v>80</v>
      </c>
      <c r="E407" s="25"/>
      <c r="F407" s="45">
        <f>F408</f>
        <v>70000</v>
      </c>
      <c r="G407" s="45">
        <f>G408</f>
        <v>65000</v>
      </c>
    </row>
    <row r="408" spans="1:7" s="50" customFormat="1" x14ac:dyDescent="0.2">
      <c r="A408" s="84" t="s">
        <v>473</v>
      </c>
      <c r="B408" s="30" t="s">
        <v>731</v>
      </c>
      <c r="C408" s="30" t="s">
        <v>817</v>
      </c>
      <c r="D408" s="30" t="s">
        <v>80</v>
      </c>
      <c r="E408" s="30" t="s">
        <v>226</v>
      </c>
      <c r="F408" s="41">
        <f>F409</f>
        <v>70000</v>
      </c>
      <c r="G408" s="41">
        <f>G409</f>
        <v>65000</v>
      </c>
    </row>
    <row r="409" spans="1:7" s="50" customFormat="1" x14ac:dyDescent="0.2">
      <c r="A409" s="84" t="s">
        <v>227</v>
      </c>
      <c r="B409" s="30" t="s">
        <v>731</v>
      </c>
      <c r="C409" s="30" t="s">
        <v>817</v>
      </c>
      <c r="D409" s="30" t="s">
        <v>80</v>
      </c>
      <c r="E409" s="30" t="s">
        <v>228</v>
      </c>
      <c r="F409" s="41">
        <v>70000</v>
      </c>
      <c r="G409" s="41">
        <v>65000</v>
      </c>
    </row>
    <row r="410" spans="1:7" s="50" customFormat="1" ht="36" x14ac:dyDescent="0.2">
      <c r="A410" s="62" t="s">
        <v>612</v>
      </c>
      <c r="B410" s="25" t="s">
        <v>731</v>
      </c>
      <c r="C410" s="25" t="s">
        <v>817</v>
      </c>
      <c r="D410" s="25" t="s">
        <v>81</v>
      </c>
      <c r="E410" s="25"/>
      <c r="F410" s="122">
        <f>F411</f>
        <v>34000</v>
      </c>
      <c r="G410" s="122">
        <f>G411</f>
        <v>30000</v>
      </c>
    </row>
    <row r="411" spans="1:7" s="50" customFormat="1" x14ac:dyDescent="0.2">
      <c r="A411" s="84" t="s">
        <v>229</v>
      </c>
      <c r="B411" s="30" t="s">
        <v>731</v>
      </c>
      <c r="C411" s="30" t="s">
        <v>817</v>
      </c>
      <c r="D411" s="30" t="s">
        <v>81</v>
      </c>
      <c r="E411" s="30" t="s">
        <v>230</v>
      </c>
      <c r="F411" s="118">
        <f>F412</f>
        <v>34000</v>
      </c>
      <c r="G411" s="118">
        <f>G412</f>
        <v>30000</v>
      </c>
    </row>
    <row r="412" spans="1:7" s="50" customFormat="1" ht="24" x14ac:dyDescent="0.2">
      <c r="A412" s="84" t="s">
        <v>105</v>
      </c>
      <c r="B412" s="30" t="s">
        <v>731</v>
      </c>
      <c r="C412" s="30" t="s">
        <v>817</v>
      </c>
      <c r="D412" s="30" t="s">
        <v>81</v>
      </c>
      <c r="E412" s="30" t="s">
        <v>729</v>
      </c>
      <c r="F412" s="118">
        <v>34000</v>
      </c>
      <c r="G412" s="118">
        <v>30000</v>
      </c>
    </row>
    <row r="413" spans="1:7" s="50" customFormat="1" ht="27" x14ac:dyDescent="0.2">
      <c r="A413" s="86" t="s">
        <v>549</v>
      </c>
      <c r="B413" s="53" t="s">
        <v>731</v>
      </c>
      <c r="C413" s="53" t="s">
        <v>817</v>
      </c>
      <c r="D413" s="53" t="s">
        <v>444</v>
      </c>
      <c r="E413" s="53"/>
      <c r="F413" s="57">
        <f>F414+F417+F420</f>
        <v>7500</v>
      </c>
      <c r="G413" s="57">
        <f>G414+G417+G420</f>
        <v>6500</v>
      </c>
    </row>
    <row r="414" spans="1:7" s="50" customFormat="1" x14ac:dyDescent="0.2">
      <c r="A414" s="75" t="s">
        <v>2</v>
      </c>
      <c r="B414" s="24" t="s">
        <v>731</v>
      </c>
      <c r="C414" s="24" t="s">
        <v>817</v>
      </c>
      <c r="D414" s="24" t="s">
        <v>3</v>
      </c>
      <c r="E414" s="24"/>
      <c r="F414" s="42">
        <f>F415</f>
        <v>3400</v>
      </c>
      <c r="G414" s="42">
        <f>G415</f>
        <v>6000</v>
      </c>
    </row>
    <row r="415" spans="1:7" s="50" customFormat="1" x14ac:dyDescent="0.2">
      <c r="A415" s="84" t="s">
        <v>357</v>
      </c>
      <c r="B415" s="30" t="s">
        <v>731</v>
      </c>
      <c r="C415" s="30" t="s">
        <v>817</v>
      </c>
      <c r="D415" s="30" t="s">
        <v>3</v>
      </c>
      <c r="E415" s="30" t="s">
        <v>226</v>
      </c>
      <c r="F415" s="41">
        <f>F416</f>
        <v>3400</v>
      </c>
      <c r="G415" s="41">
        <f>G416</f>
        <v>6000</v>
      </c>
    </row>
    <row r="416" spans="1:7" s="50" customFormat="1" x14ac:dyDescent="0.2">
      <c r="A416" s="84" t="s">
        <v>227</v>
      </c>
      <c r="B416" s="30" t="s">
        <v>731</v>
      </c>
      <c r="C416" s="30" t="s">
        <v>817</v>
      </c>
      <c r="D416" s="30" t="s">
        <v>3</v>
      </c>
      <c r="E416" s="30" t="s">
        <v>228</v>
      </c>
      <c r="F416" s="41">
        <f>5000-1600</f>
        <v>3400</v>
      </c>
      <c r="G416" s="41">
        <v>6000</v>
      </c>
    </row>
    <row r="417" spans="1:7" s="50" customFormat="1" x14ac:dyDescent="0.2">
      <c r="A417" s="80" t="s">
        <v>4</v>
      </c>
      <c r="B417" s="24" t="s">
        <v>731</v>
      </c>
      <c r="C417" s="24" t="s">
        <v>817</v>
      </c>
      <c r="D417" s="24" t="s">
        <v>5</v>
      </c>
      <c r="E417" s="24"/>
      <c r="F417" s="42">
        <f>F418</f>
        <v>3600</v>
      </c>
      <c r="G417" s="117">
        <f>G418</f>
        <v>0</v>
      </c>
    </row>
    <row r="418" spans="1:7" s="50" customFormat="1" x14ac:dyDescent="0.2">
      <c r="A418" s="84" t="s">
        <v>357</v>
      </c>
      <c r="B418" s="30" t="s">
        <v>731</v>
      </c>
      <c r="C418" s="30" t="s">
        <v>817</v>
      </c>
      <c r="D418" s="30" t="s">
        <v>5</v>
      </c>
      <c r="E418" s="30" t="s">
        <v>226</v>
      </c>
      <c r="F418" s="41">
        <f>F419</f>
        <v>3600</v>
      </c>
      <c r="G418" s="118">
        <f>G419</f>
        <v>0</v>
      </c>
    </row>
    <row r="419" spans="1:7" s="50" customFormat="1" x14ac:dyDescent="0.2">
      <c r="A419" s="84" t="s">
        <v>227</v>
      </c>
      <c r="B419" s="30" t="s">
        <v>731</v>
      </c>
      <c r="C419" s="30" t="s">
        <v>817</v>
      </c>
      <c r="D419" s="30" t="s">
        <v>5</v>
      </c>
      <c r="E419" s="30" t="s">
        <v>228</v>
      </c>
      <c r="F419" s="41">
        <f>2000+1600</f>
        <v>3600</v>
      </c>
      <c r="G419" s="118">
        <v>0</v>
      </c>
    </row>
    <row r="420" spans="1:7" s="50" customFormat="1" x14ac:dyDescent="0.2">
      <c r="A420" s="75" t="s">
        <v>286</v>
      </c>
      <c r="B420" s="24" t="s">
        <v>731</v>
      </c>
      <c r="C420" s="24" t="s">
        <v>817</v>
      </c>
      <c r="D420" s="24" t="s">
        <v>846</v>
      </c>
      <c r="E420" s="24"/>
      <c r="F420" s="117">
        <f>F421</f>
        <v>500</v>
      </c>
      <c r="G420" s="117">
        <f>G421</f>
        <v>500</v>
      </c>
    </row>
    <row r="421" spans="1:7" s="50" customFormat="1" x14ac:dyDescent="0.2">
      <c r="A421" s="84" t="s">
        <v>473</v>
      </c>
      <c r="B421" s="30" t="s">
        <v>731</v>
      </c>
      <c r="C421" s="30" t="s">
        <v>817</v>
      </c>
      <c r="D421" s="30" t="s">
        <v>846</v>
      </c>
      <c r="E421" s="30" t="s">
        <v>226</v>
      </c>
      <c r="F421" s="118">
        <f>F422</f>
        <v>500</v>
      </c>
      <c r="G421" s="118">
        <f>G422</f>
        <v>500</v>
      </c>
    </row>
    <row r="422" spans="1:7" s="50" customFormat="1" x14ac:dyDescent="0.2">
      <c r="A422" s="84" t="s">
        <v>227</v>
      </c>
      <c r="B422" s="30" t="s">
        <v>731</v>
      </c>
      <c r="C422" s="30" t="s">
        <v>817</v>
      </c>
      <c r="D422" s="30" t="s">
        <v>846</v>
      </c>
      <c r="E422" s="30" t="s">
        <v>228</v>
      </c>
      <c r="F422" s="118">
        <v>500</v>
      </c>
      <c r="G422" s="118">
        <v>500</v>
      </c>
    </row>
    <row r="423" spans="1:7" s="50" customFormat="1" ht="27" x14ac:dyDescent="0.2">
      <c r="A423" s="86" t="s">
        <v>13</v>
      </c>
      <c r="B423" s="53" t="s">
        <v>731</v>
      </c>
      <c r="C423" s="53" t="s">
        <v>817</v>
      </c>
      <c r="D423" s="93" t="s">
        <v>14</v>
      </c>
      <c r="E423" s="53"/>
      <c r="F423" s="121">
        <f>F424+F427</f>
        <v>7000</v>
      </c>
      <c r="G423" s="121">
        <f>G424+G427</f>
        <v>7000</v>
      </c>
    </row>
    <row r="424" spans="1:7" s="50" customFormat="1" ht="24" x14ac:dyDescent="0.2">
      <c r="A424" s="80" t="s">
        <v>167</v>
      </c>
      <c r="B424" s="24" t="s">
        <v>731</v>
      </c>
      <c r="C424" s="24" t="s">
        <v>817</v>
      </c>
      <c r="D424" s="43" t="s">
        <v>582</v>
      </c>
      <c r="E424" s="24"/>
      <c r="F424" s="117">
        <f>F425</f>
        <v>0</v>
      </c>
      <c r="G424" s="117">
        <f>G425</f>
        <v>0</v>
      </c>
    </row>
    <row r="425" spans="1:7" s="50" customFormat="1" x14ac:dyDescent="0.2">
      <c r="A425" s="84" t="s">
        <v>473</v>
      </c>
      <c r="B425" s="30" t="s">
        <v>731</v>
      </c>
      <c r="C425" s="30" t="s">
        <v>817</v>
      </c>
      <c r="D425" s="40" t="s">
        <v>582</v>
      </c>
      <c r="E425" s="30" t="s">
        <v>226</v>
      </c>
      <c r="F425" s="118">
        <f>F426</f>
        <v>0</v>
      </c>
      <c r="G425" s="118">
        <f>G426</f>
        <v>0</v>
      </c>
    </row>
    <row r="426" spans="1:7" s="50" customFormat="1" x14ac:dyDescent="0.2">
      <c r="A426" s="84" t="s">
        <v>227</v>
      </c>
      <c r="B426" s="30" t="s">
        <v>731</v>
      </c>
      <c r="C426" s="30" t="s">
        <v>817</v>
      </c>
      <c r="D426" s="40" t="s">
        <v>582</v>
      </c>
      <c r="E426" s="30" t="s">
        <v>228</v>
      </c>
      <c r="F426" s="118">
        <v>0</v>
      </c>
      <c r="G426" s="118">
        <v>0</v>
      </c>
    </row>
    <row r="427" spans="1:7" s="50" customFormat="1" ht="24" x14ac:dyDescent="0.2">
      <c r="A427" s="80" t="s">
        <v>167</v>
      </c>
      <c r="B427" s="24" t="s">
        <v>731</v>
      </c>
      <c r="C427" s="24" t="s">
        <v>817</v>
      </c>
      <c r="D427" s="43" t="s">
        <v>88</v>
      </c>
      <c r="E427" s="24"/>
      <c r="F427" s="117">
        <v>7000</v>
      </c>
      <c r="G427" s="117">
        <v>7000</v>
      </c>
    </row>
    <row r="428" spans="1:7" s="50" customFormat="1" x14ac:dyDescent="0.2">
      <c r="A428" s="84" t="s">
        <v>473</v>
      </c>
      <c r="B428" s="30" t="s">
        <v>731</v>
      </c>
      <c r="C428" s="30" t="s">
        <v>817</v>
      </c>
      <c r="D428" s="40" t="s">
        <v>88</v>
      </c>
      <c r="E428" s="30" t="s">
        <v>226</v>
      </c>
      <c r="F428" s="118">
        <v>7000</v>
      </c>
      <c r="G428" s="118">
        <v>7000</v>
      </c>
    </row>
    <row r="429" spans="1:7" s="50" customFormat="1" x14ac:dyDescent="0.2">
      <c r="A429" s="84" t="s">
        <v>227</v>
      </c>
      <c r="B429" s="30" t="s">
        <v>731</v>
      </c>
      <c r="C429" s="30" t="s">
        <v>817</v>
      </c>
      <c r="D429" s="40" t="s">
        <v>88</v>
      </c>
      <c r="E429" s="30" t="s">
        <v>228</v>
      </c>
      <c r="F429" s="118">
        <v>7000</v>
      </c>
      <c r="G429" s="118">
        <v>7000</v>
      </c>
    </row>
    <row r="430" spans="1:7" s="50" customFormat="1" x14ac:dyDescent="0.2">
      <c r="A430" s="80" t="s">
        <v>672</v>
      </c>
      <c r="B430" s="24" t="s">
        <v>731</v>
      </c>
      <c r="C430" s="24" t="s">
        <v>731</v>
      </c>
      <c r="D430" s="24"/>
      <c r="E430" s="24"/>
      <c r="F430" s="42">
        <f>F431+F442+F462</f>
        <v>31554</v>
      </c>
      <c r="G430" s="42">
        <f>G431+G442+G462</f>
        <v>31554</v>
      </c>
    </row>
    <row r="431" spans="1:7" s="50" customFormat="1" ht="27" x14ac:dyDescent="0.2">
      <c r="A431" s="86" t="s">
        <v>439</v>
      </c>
      <c r="B431" s="53" t="s">
        <v>731</v>
      </c>
      <c r="C431" s="53" t="s">
        <v>731</v>
      </c>
      <c r="D431" s="53" t="s">
        <v>425</v>
      </c>
      <c r="E431" s="53"/>
      <c r="F431" s="57">
        <f>F432</f>
        <v>6346</v>
      </c>
      <c r="G431" s="57">
        <f>G432</f>
        <v>6346</v>
      </c>
    </row>
    <row r="432" spans="1:7" s="50" customFormat="1" ht="24" x14ac:dyDescent="0.2">
      <c r="A432" s="82" t="s">
        <v>540</v>
      </c>
      <c r="B432" s="24" t="s">
        <v>731</v>
      </c>
      <c r="C432" s="24" t="s">
        <v>731</v>
      </c>
      <c r="D432" s="24" t="s">
        <v>425</v>
      </c>
      <c r="E432" s="24"/>
      <c r="F432" s="42">
        <f>F433</f>
        <v>6346</v>
      </c>
      <c r="G432" s="42">
        <f>G433</f>
        <v>6346</v>
      </c>
    </row>
    <row r="433" spans="1:7" s="50" customFormat="1" ht="24" x14ac:dyDescent="0.2">
      <c r="A433" s="83" t="s">
        <v>704</v>
      </c>
      <c r="B433" s="25" t="s">
        <v>731</v>
      </c>
      <c r="C433" s="25" t="s">
        <v>731</v>
      </c>
      <c r="D433" s="25" t="s">
        <v>425</v>
      </c>
      <c r="E433" s="25"/>
      <c r="F433" s="45">
        <f>F434+F437</f>
        <v>6346</v>
      </c>
      <c r="G433" s="45">
        <f>G434+G437</f>
        <v>6346</v>
      </c>
    </row>
    <row r="434" spans="1:7" s="50" customFormat="1" x14ac:dyDescent="0.2">
      <c r="A434" s="82" t="s">
        <v>685</v>
      </c>
      <c r="B434" s="24" t="s">
        <v>731</v>
      </c>
      <c r="C434" s="24" t="s">
        <v>731</v>
      </c>
      <c r="D434" s="24" t="s">
        <v>541</v>
      </c>
      <c r="E434" s="24"/>
      <c r="F434" s="42">
        <f>F435</f>
        <v>6153</v>
      </c>
      <c r="G434" s="42">
        <f>G435</f>
        <v>6153</v>
      </c>
    </row>
    <row r="435" spans="1:7" s="50" customFormat="1" ht="36" x14ac:dyDescent="0.2">
      <c r="A435" s="84" t="s">
        <v>217</v>
      </c>
      <c r="B435" s="30" t="s">
        <v>731</v>
      </c>
      <c r="C435" s="30" t="s">
        <v>731</v>
      </c>
      <c r="D435" s="30" t="s">
        <v>541</v>
      </c>
      <c r="E435" s="30" t="s">
        <v>218</v>
      </c>
      <c r="F435" s="41">
        <f>F436</f>
        <v>6153</v>
      </c>
      <c r="G435" s="41">
        <f>G436</f>
        <v>6153</v>
      </c>
    </row>
    <row r="436" spans="1:7" s="50" customFormat="1" x14ac:dyDescent="0.2">
      <c r="A436" s="84" t="s">
        <v>219</v>
      </c>
      <c r="B436" s="30" t="s">
        <v>731</v>
      </c>
      <c r="C436" s="30" t="s">
        <v>731</v>
      </c>
      <c r="D436" s="30" t="s">
        <v>541</v>
      </c>
      <c r="E436" s="30" t="s">
        <v>224</v>
      </c>
      <c r="F436" s="41">
        <f>4726+1427</f>
        <v>6153</v>
      </c>
      <c r="G436" s="41">
        <f>4726+1427</f>
        <v>6153</v>
      </c>
    </row>
    <row r="437" spans="1:7" s="50" customFormat="1" x14ac:dyDescent="0.2">
      <c r="A437" s="80" t="s">
        <v>225</v>
      </c>
      <c r="B437" s="24" t="s">
        <v>731</v>
      </c>
      <c r="C437" s="24" t="s">
        <v>731</v>
      </c>
      <c r="D437" s="24" t="s">
        <v>542</v>
      </c>
      <c r="E437" s="24"/>
      <c r="F437" s="42">
        <f>F438+F440</f>
        <v>193</v>
      </c>
      <c r="G437" s="42">
        <f>G438+G440</f>
        <v>193</v>
      </c>
    </row>
    <row r="438" spans="1:7" s="50" customFormat="1" x14ac:dyDescent="0.2">
      <c r="A438" s="84" t="s">
        <v>473</v>
      </c>
      <c r="B438" s="30" t="s">
        <v>731</v>
      </c>
      <c r="C438" s="30" t="s">
        <v>731</v>
      </c>
      <c r="D438" s="30" t="s">
        <v>542</v>
      </c>
      <c r="E438" s="30" t="s">
        <v>226</v>
      </c>
      <c r="F438" s="41">
        <f>F439</f>
        <v>190</v>
      </c>
      <c r="G438" s="41">
        <f>G439</f>
        <v>190</v>
      </c>
    </row>
    <row r="439" spans="1:7" s="50" customFormat="1" x14ac:dyDescent="0.2">
      <c r="A439" s="84" t="s">
        <v>227</v>
      </c>
      <c r="B439" s="30" t="s">
        <v>731</v>
      </c>
      <c r="C439" s="30" t="s">
        <v>731</v>
      </c>
      <c r="D439" s="30" t="s">
        <v>542</v>
      </c>
      <c r="E439" s="30" t="s">
        <v>228</v>
      </c>
      <c r="F439" s="41">
        <v>190</v>
      </c>
      <c r="G439" s="41">
        <v>190</v>
      </c>
    </row>
    <row r="440" spans="1:7" s="50" customFormat="1" x14ac:dyDescent="0.2">
      <c r="A440" s="84" t="s">
        <v>229</v>
      </c>
      <c r="B440" s="30" t="s">
        <v>731</v>
      </c>
      <c r="C440" s="30" t="s">
        <v>731</v>
      </c>
      <c r="D440" s="30" t="s">
        <v>542</v>
      </c>
      <c r="E440" s="30" t="s">
        <v>230</v>
      </c>
      <c r="F440" s="41">
        <f>F441</f>
        <v>3</v>
      </c>
      <c r="G440" s="41">
        <f>G441</f>
        <v>3</v>
      </c>
    </row>
    <row r="441" spans="1:7" x14ac:dyDescent="0.2">
      <c r="A441" s="84" t="s">
        <v>106</v>
      </c>
      <c r="B441" s="30" t="s">
        <v>731</v>
      </c>
      <c r="C441" s="30" t="s">
        <v>731</v>
      </c>
      <c r="D441" s="30" t="s">
        <v>542</v>
      </c>
      <c r="E441" s="30" t="s">
        <v>231</v>
      </c>
      <c r="F441" s="41">
        <v>3</v>
      </c>
      <c r="G441" s="41">
        <v>3</v>
      </c>
    </row>
    <row r="442" spans="1:7" ht="27" x14ac:dyDescent="0.2">
      <c r="A442" s="86" t="s">
        <v>65</v>
      </c>
      <c r="B442" s="53" t="s">
        <v>731</v>
      </c>
      <c r="C442" s="53" t="s">
        <v>731</v>
      </c>
      <c r="D442" s="53" t="s">
        <v>410</v>
      </c>
      <c r="E442" s="53"/>
      <c r="F442" s="57">
        <f>F443+F454</f>
        <v>18920</v>
      </c>
      <c r="G442" s="57">
        <f>G443+G454</f>
        <v>18920</v>
      </c>
    </row>
    <row r="443" spans="1:7" x14ac:dyDescent="0.2">
      <c r="A443" s="80" t="s">
        <v>754</v>
      </c>
      <c r="B443" s="24" t="s">
        <v>731</v>
      </c>
      <c r="C443" s="24" t="s">
        <v>731</v>
      </c>
      <c r="D443" s="24" t="s">
        <v>276</v>
      </c>
      <c r="E443" s="30"/>
      <c r="F443" s="42">
        <f>F444</f>
        <v>12650</v>
      </c>
      <c r="G443" s="42">
        <f>G444</f>
        <v>12650</v>
      </c>
    </row>
    <row r="444" spans="1:7" ht="24" x14ac:dyDescent="0.2">
      <c r="A444" s="80" t="s">
        <v>419</v>
      </c>
      <c r="B444" s="24" t="s">
        <v>731</v>
      </c>
      <c r="C444" s="24" t="s">
        <v>731</v>
      </c>
      <c r="D444" s="24" t="s">
        <v>276</v>
      </c>
      <c r="E444" s="30"/>
      <c r="F444" s="42">
        <f>F445</f>
        <v>12650</v>
      </c>
      <c r="G444" s="42">
        <f>G445</f>
        <v>12650</v>
      </c>
    </row>
    <row r="445" spans="1:7" ht="24" x14ac:dyDescent="0.2">
      <c r="A445" s="83" t="s">
        <v>704</v>
      </c>
      <c r="B445" s="25" t="s">
        <v>731</v>
      </c>
      <c r="C445" s="25" t="s">
        <v>731</v>
      </c>
      <c r="D445" s="25" t="s">
        <v>276</v>
      </c>
      <c r="E445" s="25"/>
      <c r="F445" s="45">
        <f>F446+F449</f>
        <v>12650</v>
      </c>
      <c r="G445" s="45">
        <f>G446+G449</f>
        <v>12650</v>
      </c>
    </row>
    <row r="446" spans="1:7" x14ac:dyDescent="0.2">
      <c r="A446" s="82" t="s">
        <v>685</v>
      </c>
      <c r="B446" s="24" t="s">
        <v>731</v>
      </c>
      <c r="C446" s="24" t="s">
        <v>731</v>
      </c>
      <c r="D446" s="24" t="s">
        <v>82</v>
      </c>
      <c r="E446" s="24"/>
      <c r="F446" s="42">
        <f>F447</f>
        <v>11298</v>
      </c>
      <c r="G446" s="42">
        <f>G447</f>
        <v>11298</v>
      </c>
    </row>
    <row r="447" spans="1:7" ht="36" x14ac:dyDescent="0.2">
      <c r="A447" s="84" t="s">
        <v>217</v>
      </c>
      <c r="B447" s="30" t="s">
        <v>731</v>
      </c>
      <c r="C447" s="30" t="s">
        <v>731</v>
      </c>
      <c r="D447" s="30" t="s">
        <v>82</v>
      </c>
      <c r="E447" s="30" t="s">
        <v>218</v>
      </c>
      <c r="F447" s="41">
        <f>F448</f>
        <v>11298</v>
      </c>
      <c r="G447" s="41">
        <f>G448</f>
        <v>11298</v>
      </c>
    </row>
    <row r="448" spans="1:7" x14ac:dyDescent="0.2">
      <c r="A448" s="84" t="s">
        <v>219</v>
      </c>
      <c r="B448" s="30" t="s">
        <v>731</v>
      </c>
      <c r="C448" s="30" t="s">
        <v>731</v>
      </c>
      <c r="D448" s="30" t="s">
        <v>82</v>
      </c>
      <c r="E448" s="30" t="s">
        <v>224</v>
      </c>
      <c r="F448" s="41">
        <f>8600+2698</f>
        <v>11298</v>
      </c>
      <c r="G448" s="41">
        <f>8600+2698</f>
        <v>11298</v>
      </c>
    </row>
    <row r="449" spans="1:7" x14ac:dyDescent="0.2">
      <c r="A449" s="80" t="s">
        <v>225</v>
      </c>
      <c r="B449" s="24" t="s">
        <v>731</v>
      </c>
      <c r="C449" s="24" t="s">
        <v>731</v>
      </c>
      <c r="D449" s="24" t="s">
        <v>83</v>
      </c>
      <c r="E449" s="24"/>
      <c r="F449" s="42">
        <f>F450+F452</f>
        <v>1352</v>
      </c>
      <c r="G449" s="42">
        <f>G450+G452</f>
        <v>1352</v>
      </c>
    </row>
    <row r="450" spans="1:7" x14ac:dyDescent="0.2">
      <c r="A450" s="84" t="s">
        <v>473</v>
      </c>
      <c r="B450" s="30" t="s">
        <v>731</v>
      </c>
      <c r="C450" s="30" t="s">
        <v>731</v>
      </c>
      <c r="D450" s="30" t="s">
        <v>83</v>
      </c>
      <c r="E450" s="30" t="s">
        <v>226</v>
      </c>
      <c r="F450" s="41">
        <f>F451</f>
        <v>1322</v>
      </c>
      <c r="G450" s="41">
        <f>G451</f>
        <v>1322</v>
      </c>
    </row>
    <row r="451" spans="1:7" x14ac:dyDescent="0.2">
      <c r="A451" s="84" t="s">
        <v>227</v>
      </c>
      <c r="B451" s="30" t="s">
        <v>731</v>
      </c>
      <c r="C451" s="30" t="s">
        <v>731</v>
      </c>
      <c r="D451" s="30" t="s">
        <v>83</v>
      </c>
      <c r="E451" s="30" t="s">
        <v>228</v>
      </c>
      <c r="F451" s="41">
        <v>1322</v>
      </c>
      <c r="G451" s="41">
        <v>1322</v>
      </c>
    </row>
    <row r="452" spans="1:7" x14ac:dyDescent="0.2">
      <c r="A452" s="84" t="s">
        <v>229</v>
      </c>
      <c r="B452" s="30" t="s">
        <v>731</v>
      </c>
      <c r="C452" s="30" t="s">
        <v>731</v>
      </c>
      <c r="D452" s="30" t="s">
        <v>83</v>
      </c>
      <c r="E452" s="30" t="s">
        <v>230</v>
      </c>
      <c r="F452" s="41">
        <f>F453</f>
        <v>30</v>
      </c>
      <c r="G452" s="41">
        <f>G453</f>
        <v>30</v>
      </c>
    </row>
    <row r="453" spans="1:7" x14ac:dyDescent="0.2">
      <c r="A453" s="84" t="s">
        <v>106</v>
      </c>
      <c r="B453" s="30" t="s">
        <v>731</v>
      </c>
      <c r="C453" s="30" t="s">
        <v>731</v>
      </c>
      <c r="D453" s="30" t="s">
        <v>83</v>
      </c>
      <c r="E453" s="30" t="s">
        <v>231</v>
      </c>
      <c r="F453" s="41">
        <v>30</v>
      </c>
      <c r="G453" s="41">
        <v>30</v>
      </c>
    </row>
    <row r="454" spans="1:7" x14ac:dyDescent="0.2">
      <c r="A454" s="75" t="s">
        <v>199</v>
      </c>
      <c r="B454" s="24" t="s">
        <v>731</v>
      </c>
      <c r="C454" s="24" t="s">
        <v>731</v>
      </c>
      <c r="D454" s="43" t="s">
        <v>84</v>
      </c>
      <c r="E454" s="24"/>
      <c r="F454" s="42">
        <f>F455</f>
        <v>6270</v>
      </c>
      <c r="G454" s="42">
        <f>G455</f>
        <v>6270</v>
      </c>
    </row>
    <row r="455" spans="1:7" x14ac:dyDescent="0.2">
      <c r="A455" s="85" t="s">
        <v>819</v>
      </c>
      <c r="B455" s="33" t="s">
        <v>731</v>
      </c>
      <c r="C455" s="33" t="s">
        <v>731</v>
      </c>
      <c r="D455" s="33" t="s">
        <v>84</v>
      </c>
      <c r="E455" s="33"/>
      <c r="F455" s="101">
        <f>F456+F458+F460</f>
        <v>6270</v>
      </c>
      <c r="G455" s="101">
        <f>G456+G458+G460</f>
        <v>6270</v>
      </c>
    </row>
    <row r="456" spans="1:7" ht="36" x14ac:dyDescent="0.2">
      <c r="A456" s="84" t="s">
        <v>217</v>
      </c>
      <c r="B456" s="30" t="s">
        <v>731</v>
      </c>
      <c r="C456" s="30" t="s">
        <v>731</v>
      </c>
      <c r="D456" s="30" t="s">
        <v>84</v>
      </c>
      <c r="E456" s="30" t="s">
        <v>218</v>
      </c>
      <c r="F456" s="41">
        <f>F457</f>
        <v>4550</v>
      </c>
      <c r="G456" s="41">
        <f>G457</f>
        <v>4550</v>
      </c>
    </row>
    <row r="457" spans="1:7" x14ac:dyDescent="0.2">
      <c r="A457" s="84" t="s">
        <v>820</v>
      </c>
      <c r="B457" s="30" t="s">
        <v>731</v>
      </c>
      <c r="C457" s="30" t="s">
        <v>731</v>
      </c>
      <c r="D457" s="30" t="s">
        <v>84</v>
      </c>
      <c r="E457" s="30" t="s">
        <v>821</v>
      </c>
      <c r="F457" s="41">
        <f>2500+750+1000+300</f>
        <v>4550</v>
      </c>
      <c r="G457" s="41">
        <f>2500+750+1000+300</f>
        <v>4550</v>
      </c>
    </row>
    <row r="458" spans="1:7" x14ac:dyDescent="0.2">
      <c r="A458" s="84" t="s">
        <v>473</v>
      </c>
      <c r="B458" s="30" t="s">
        <v>731</v>
      </c>
      <c r="C458" s="30" t="s">
        <v>731</v>
      </c>
      <c r="D458" s="30" t="s">
        <v>84</v>
      </c>
      <c r="E458" s="30" t="s">
        <v>226</v>
      </c>
      <c r="F458" s="41">
        <f>F459</f>
        <v>1299</v>
      </c>
      <c r="G458" s="41">
        <f>G459</f>
        <v>1299</v>
      </c>
    </row>
    <row r="459" spans="1:7" x14ac:dyDescent="0.2">
      <c r="A459" s="84" t="s">
        <v>227</v>
      </c>
      <c r="B459" s="30" t="s">
        <v>731</v>
      </c>
      <c r="C459" s="30" t="s">
        <v>731</v>
      </c>
      <c r="D459" s="30" t="s">
        <v>84</v>
      </c>
      <c r="E459" s="30" t="s">
        <v>228</v>
      </c>
      <c r="F459" s="41">
        <v>1299</v>
      </c>
      <c r="G459" s="41">
        <v>1299</v>
      </c>
    </row>
    <row r="460" spans="1:7" x14ac:dyDescent="0.2">
      <c r="A460" s="84" t="s">
        <v>229</v>
      </c>
      <c r="B460" s="30" t="s">
        <v>731</v>
      </c>
      <c r="C460" s="30" t="s">
        <v>731</v>
      </c>
      <c r="D460" s="30" t="s">
        <v>84</v>
      </c>
      <c r="E460" s="30" t="s">
        <v>230</v>
      </c>
      <c r="F460" s="41">
        <f>F461</f>
        <v>421</v>
      </c>
      <c r="G460" s="41">
        <f>G461</f>
        <v>421</v>
      </c>
    </row>
    <row r="461" spans="1:7" x14ac:dyDescent="0.2">
      <c r="A461" s="84" t="s">
        <v>106</v>
      </c>
      <c r="B461" s="30" t="s">
        <v>731</v>
      </c>
      <c r="C461" s="30" t="s">
        <v>731</v>
      </c>
      <c r="D461" s="30" t="s">
        <v>84</v>
      </c>
      <c r="E461" s="30" t="s">
        <v>231</v>
      </c>
      <c r="F461" s="41">
        <f>412+9</f>
        <v>421</v>
      </c>
      <c r="G461" s="41">
        <f>412+9</f>
        <v>421</v>
      </c>
    </row>
    <row r="462" spans="1:7" x14ac:dyDescent="0.2">
      <c r="A462" s="81" t="s">
        <v>212</v>
      </c>
      <c r="B462" s="25" t="s">
        <v>731</v>
      </c>
      <c r="C462" s="25" t="s">
        <v>731</v>
      </c>
      <c r="D462" s="25" t="s">
        <v>382</v>
      </c>
      <c r="E462" s="25"/>
      <c r="F462" s="45">
        <f>F463</f>
        <v>6288</v>
      </c>
      <c r="G462" s="45">
        <f>G463</f>
        <v>6288</v>
      </c>
    </row>
    <row r="463" spans="1:7" x14ac:dyDescent="0.2">
      <c r="A463" s="82" t="s">
        <v>476</v>
      </c>
      <c r="B463" s="24" t="s">
        <v>731</v>
      </c>
      <c r="C463" s="24" t="s">
        <v>731</v>
      </c>
      <c r="D463" s="24" t="s">
        <v>383</v>
      </c>
      <c r="E463" s="30"/>
      <c r="F463" s="42">
        <f>F464</f>
        <v>6288</v>
      </c>
      <c r="G463" s="42">
        <f>G464</f>
        <v>6288</v>
      </c>
    </row>
    <row r="464" spans="1:7" ht="24" x14ac:dyDescent="0.2">
      <c r="A464" s="83" t="s">
        <v>704</v>
      </c>
      <c r="B464" s="24" t="s">
        <v>731</v>
      </c>
      <c r="C464" s="24" t="s">
        <v>731</v>
      </c>
      <c r="D464" s="24" t="s">
        <v>383</v>
      </c>
      <c r="E464" s="30"/>
      <c r="F464" s="42">
        <f>F465+F468</f>
        <v>6288</v>
      </c>
      <c r="G464" s="42">
        <f>G465+G468</f>
        <v>6288</v>
      </c>
    </row>
    <row r="465" spans="1:7" x14ac:dyDescent="0.2">
      <c r="A465" s="82" t="s">
        <v>685</v>
      </c>
      <c r="B465" s="24" t="s">
        <v>731</v>
      </c>
      <c r="C465" s="24" t="s">
        <v>731</v>
      </c>
      <c r="D465" s="24" t="s">
        <v>384</v>
      </c>
      <c r="E465" s="24"/>
      <c r="F465" s="42">
        <f>F466</f>
        <v>5388</v>
      </c>
      <c r="G465" s="42">
        <f>G466</f>
        <v>5388</v>
      </c>
    </row>
    <row r="466" spans="1:7" ht="36" x14ac:dyDescent="0.2">
      <c r="A466" s="84" t="s">
        <v>217</v>
      </c>
      <c r="B466" s="30" t="s">
        <v>731</v>
      </c>
      <c r="C466" s="30" t="s">
        <v>731</v>
      </c>
      <c r="D466" s="30" t="s">
        <v>384</v>
      </c>
      <c r="E466" s="30" t="s">
        <v>218</v>
      </c>
      <c r="F466" s="41">
        <f>F467</f>
        <v>5388</v>
      </c>
      <c r="G466" s="41">
        <f>G467</f>
        <v>5388</v>
      </c>
    </row>
    <row r="467" spans="1:7" x14ac:dyDescent="0.2">
      <c r="A467" s="84" t="s">
        <v>219</v>
      </c>
      <c r="B467" s="30" t="s">
        <v>731</v>
      </c>
      <c r="C467" s="30" t="s">
        <v>731</v>
      </c>
      <c r="D467" s="30" t="s">
        <v>384</v>
      </c>
      <c r="E467" s="30" t="s">
        <v>224</v>
      </c>
      <c r="F467" s="41">
        <f>4100+50+1238</f>
        <v>5388</v>
      </c>
      <c r="G467" s="41">
        <f>4100+50+1238</f>
        <v>5388</v>
      </c>
    </row>
    <row r="468" spans="1:7" x14ac:dyDescent="0.2">
      <c r="A468" s="80" t="s">
        <v>225</v>
      </c>
      <c r="B468" s="24" t="s">
        <v>731</v>
      </c>
      <c r="C468" s="24" t="s">
        <v>731</v>
      </c>
      <c r="D468" s="24" t="s">
        <v>385</v>
      </c>
      <c r="E468" s="24"/>
      <c r="F468" s="42">
        <f>F469+F471</f>
        <v>900</v>
      </c>
      <c r="G468" s="42">
        <f>G469+G471</f>
        <v>900</v>
      </c>
    </row>
    <row r="469" spans="1:7" x14ac:dyDescent="0.2">
      <c r="A469" s="84" t="s">
        <v>473</v>
      </c>
      <c r="B469" s="30" t="s">
        <v>731</v>
      </c>
      <c r="C469" s="30" t="s">
        <v>731</v>
      </c>
      <c r="D469" s="30" t="s">
        <v>385</v>
      </c>
      <c r="E469" s="30" t="s">
        <v>226</v>
      </c>
      <c r="F469" s="41">
        <f>F470</f>
        <v>740</v>
      </c>
      <c r="G469" s="41">
        <f>G470</f>
        <v>740</v>
      </c>
    </row>
    <row r="470" spans="1:7" x14ac:dyDescent="0.2">
      <c r="A470" s="84" t="s">
        <v>227</v>
      </c>
      <c r="B470" s="30" t="s">
        <v>731</v>
      </c>
      <c r="C470" s="30" t="s">
        <v>731</v>
      </c>
      <c r="D470" s="30" t="s">
        <v>385</v>
      </c>
      <c r="E470" s="30" t="s">
        <v>228</v>
      </c>
      <c r="F470" s="41">
        <v>740</v>
      </c>
      <c r="G470" s="41">
        <v>740</v>
      </c>
    </row>
    <row r="471" spans="1:7" x14ac:dyDescent="0.2">
      <c r="A471" s="84" t="s">
        <v>229</v>
      </c>
      <c r="B471" s="30" t="s">
        <v>731</v>
      </c>
      <c r="C471" s="30" t="s">
        <v>731</v>
      </c>
      <c r="D471" s="30" t="s">
        <v>385</v>
      </c>
      <c r="E471" s="30" t="s">
        <v>230</v>
      </c>
      <c r="F471" s="41">
        <f>F472</f>
        <v>160</v>
      </c>
      <c r="G471" s="41">
        <f>G472</f>
        <v>160</v>
      </c>
    </row>
    <row r="472" spans="1:7" s="50" customFormat="1" x14ac:dyDescent="0.2">
      <c r="A472" s="84" t="s">
        <v>106</v>
      </c>
      <c r="B472" s="30" t="s">
        <v>731</v>
      </c>
      <c r="C472" s="30" t="s">
        <v>731</v>
      </c>
      <c r="D472" s="30" t="s">
        <v>385</v>
      </c>
      <c r="E472" s="30" t="s">
        <v>231</v>
      </c>
      <c r="F472" s="41">
        <v>160</v>
      </c>
      <c r="G472" s="41">
        <v>160</v>
      </c>
    </row>
    <row r="473" spans="1:7" x14ac:dyDescent="0.2">
      <c r="A473" s="80" t="s">
        <v>673</v>
      </c>
      <c r="B473" s="24" t="s">
        <v>824</v>
      </c>
      <c r="C473" s="24" t="s">
        <v>215</v>
      </c>
      <c r="D473" s="30"/>
      <c r="E473" s="30"/>
      <c r="F473" s="35">
        <f>F474+F485+F501+F520+F542</f>
        <v>2492409.9</v>
      </c>
      <c r="G473" s="35">
        <f>G474+G485+G501+G520+G542</f>
        <v>2455919</v>
      </c>
    </row>
    <row r="474" spans="1:7" x14ac:dyDescent="0.2">
      <c r="A474" s="80" t="s">
        <v>674</v>
      </c>
      <c r="B474" s="24" t="s">
        <v>824</v>
      </c>
      <c r="C474" s="24" t="s">
        <v>214</v>
      </c>
      <c r="D474" s="24"/>
      <c r="E474" s="24"/>
      <c r="F474" s="42">
        <f>F475</f>
        <v>1083446.5</v>
      </c>
      <c r="G474" s="42">
        <f>G475</f>
        <v>1065446.5</v>
      </c>
    </row>
    <row r="475" spans="1:7" ht="27" x14ac:dyDescent="0.2">
      <c r="A475" s="86" t="s">
        <v>831</v>
      </c>
      <c r="B475" s="53" t="s">
        <v>824</v>
      </c>
      <c r="C475" s="53" t="s">
        <v>214</v>
      </c>
      <c r="D475" s="53" t="s">
        <v>323</v>
      </c>
      <c r="E475" s="53"/>
      <c r="F475" s="57">
        <f>F476</f>
        <v>1083446.5</v>
      </c>
      <c r="G475" s="57">
        <f>G476</f>
        <v>1065446.5</v>
      </c>
    </row>
    <row r="476" spans="1:7" x14ac:dyDescent="0.2">
      <c r="A476" s="80" t="s">
        <v>445</v>
      </c>
      <c r="B476" s="24" t="s">
        <v>824</v>
      </c>
      <c r="C476" s="24" t="s">
        <v>214</v>
      </c>
      <c r="D476" s="24" t="s">
        <v>324</v>
      </c>
      <c r="E476" s="24"/>
      <c r="F476" s="42">
        <f>F477+F481</f>
        <v>1083446.5</v>
      </c>
      <c r="G476" s="42">
        <f>G477+G481</f>
        <v>1065446.5</v>
      </c>
    </row>
    <row r="477" spans="1:7" ht="24" x14ac:dyDescent="0.2">
      <c r="A477" s="83" t="s">
        <v>446</v>
      </c>
      <c r="B477" s="25" t="s">
        <v>824</v>
      </c>
      <c r="C477" s="25" t="s">
        <v>214</v>
      </c>
      <c r="D477" s="25" t="s">
        <v>325</v>
      </c>
      <c r="E477" s="25"/>
      <c r="F477" s="45">
        <f>F478</f>
        <v>503446.5</v>
      </c>
      <c r="G477" s="45">
        <f>G478</f>
        <v>503446.5</v>
      </c>
    </row>
    <row r="478" spans="1:7" ht="24" x14ac:dyDescent="0.2">
      <c r="A478" s="84" t="s">
        <v>246</v>
      </c>
      <c r="B478" s="30" t="s">
        <v>824</v>
      </c>
      <c r="C478" s="30" t="s">
        <v>214</v>
      </c>
      <c r="D478" s="30" t="s">
        <v>832</v>
      </c>
      <c r="E478" s="30" t="s">
        <v>702</v>
      </c>
      <c r="F478" s="41">
        <f>F479+F480</f>
        <v>503446.5</v>
      </c>
      <c r="G478" s="41">
        <f>G479+G480</f>
        <v>503446.5</v>
      </c>
    </row>
    <row r="479" spans="1:7" x14ac:dyDescent="0.2">
      <c r="A479" s="84" t="s">
        <v>247</v>
      </c>
      <c r="B479" s="30" t="s">
        <v>824</v>
      </c>
      <c r="C479" s="30" t="s">
        <v>214</v>
      </c>
      <c r="D479" s="30" t="s">
        <v>832</v>
      </c>
      <c r="E479" s="30" t="s">
        <v>724</v>
      </c>
      <c r="F479" s="41">
        <f>460668.5+10000</f>
        <v>470668.5</v>
      </c>
      <c r="G479" s="41">
        <f>460668.5+10000</f>
        <v>470668.5</v>
      </c>
    </row>
    <row r="480" spans="1:7" x14ac:dyDescent="0.2">
      <c r="A480" s="84" t="s">
        <v>108</v>
      </c>
      <c r="B480" s="30" t="s">
        <v>824</v>
      </c>
      <c r="C480" s="30" t="s">
        <v>214</v>
      </c>
      <c r="D480" s="30" t="s">
        <v>832</v>
      </c>
      <c r="E480" s="30" t="s">
        <v>109</v>
      </c>
      <c r="F480" s="41">
        <v>32778</v>
      </c>
      <c r="G480" s="41">
        <v>32778</v>
      </c>
    </row>
    <row r="481" spans="1:7" ht="36" x14ac:dyDescent="0.2">
      <c r="A481" s="83" t="s">
        <v>656</v>
      </c>
      <c r="B481" s="25" t="s">
        <v>824</v>
      </c>
      <c r="C481" s="25" t="s">
        <v>214</v>
      </c>
      <c r="D481" s="25" t="s">
        <v>326</v>
      </c>
      <c r="E481" s="25"/>
      <c r="F481" s="45">
        <f>F482</f>
        <v>580000</v>
      </c>
      <c r="G481" s="45">
        <f>G482</f>
        <v>562000</v>
      </c>
    </row>
    <row r="482" spans="1:7" ht="24" x14ac:dyDescent="0.2">
      <c r="A482" s="84" t="s">
        <v>246</v>
      </c>
      <c r="B482" s="30" t="s">
        <v>824</v>
      </c>
      <c r="C482" s="30" t="s">
        <v>214</v>
      </c>
      <c r="D482" s="30" t="s">
        <v>326</v>
      </c>
      <c r="E482" s="30" t="s">
        <v>702</v>
      </c>
      <c r="F482" s="41">
        <f>F483+F484</f>
        <v>580000</v>
      </c>
      <c r="G482" s="41">
        <f>G483+G484</f>
        <v>562000</v>
      </c>
    </row>
    <row r="483" spans="1:7" x14ac:dyDescent="0.2">
      <c r="A483" s="84" t="s">
        <v>247</v>
      </c>
      <c r="B483" s="30" t="s">
        <v>824</v>
      </c>
      <c r="C483" s="30" t="s">
        <v>214</v>
      </c>
      <c r="D483" s="30" t="s">
        <v>326</v>
      </c>
      <c r="E483" s="30" t="s">
        <v>724</v>
      </c>
      <c r="F483" s="41">
        <v>543885</v>
      </c>
      <c r="G483" s="41">
        <v>527400</v>
      </c>
    </row>
    <row r="484" spans="1:7" x14ac:dyDescent="0.2">
      <c r="A484" s="84" t="s">
        <v>108</v>
      </c>
      <c r="B484" s="30" t="s">
        <v>824</v>
      </c>
      <c r="C484" s="30" t="s">
        <v>214</v>
      </c>
      <c r="D484" s="30" t="s">
        <v>326</v>
      </c>
      <c r="E484" s="30" t="s">
        <v>109</v>
      </c>
      <c r="F484" s="41">
        <v>36115</v>
      </c>
      <c r="G484" s="41">
        <v>34600</v>
      </c>
    </row>
    <row r="485" spans="1:7" x14ac:dyDescent="0.2">
      <c r="A485" s="80" t="s">
        <v>675</v>
      </c>
      <c r="B485" s="24" t="s">
        <v>824</v>
      </c>
      <c r="C485" s="24" t="s">
        <v>825</v>
      </c>
      <c r="D485" s="24"/>
      <c r="E485" s="25"/>
      <c r="F485" s="42">
        <f>F486</f>
        <v>1037467.8</v>
      </c>
      <c r="G485" s="42">
        <f>G486</f>
        <v>1014467.8</v>
      </c>
    </row>
    <row r="486" spans="1:7" ht="27" x14ac:dyDescent="0.2">
      <c r="A486" s="86" t="s">
        <v>831</v>
      </c>
      <c r="B486" s="53" t="s">
        <v>824</v>
      </c>
      <c r="C486" s="53" t="s">
        <v>825</v>
      </c>
      <c r="D486" s="53" t="s">
        <v>323</v>
      </c>
      <c r="E486" s="53"/>
      <c r="F486" s="57">
        <f>F487+F496</f>
        <v>1037467.8</v>
      </c>
      <c r="G486" s="57">
        <f>G487+G496</f>
        <v>1014467.8</v>
      </c>
    </row>
    <row r="487" spans="1:7" x14ac:dyDescent="0.2">
      <c r="A487" s="80" t="s">
        <v>445</v>
      </c>
      <c r="B487" s="24" t="s">
        <v>824</v>
      </c>
      <c r="C487" s="24" t="s">
        <v>825</v>
      </c>
      <c r="D487" s="24" t="s">
        <v>324</v>
      </c>
      <c r="E487" s="24"/>
      <c r="F487" s="42">
        <f>F488+F492</f>
        <v>1017467.8</v>
      </c>
      <c r="G487" s="42">
        <f>G488+G492</f>
        <v>994467.8</v>
      </c>
    </row>
    <row r="488" spans="1:7" ht="24" x14ac:dyDescent="0.2">
      <c r="A488" s="85" t="s">
        <v>447</v>
      </c>
      <c r="B488" s="33" t="s">
        <v>824</v>
      </c>
      <c r="C488" s="33" t="s">
        <v>825</v>
      </c>
      <c r="D488" s="33" t="s">
        <v>329</v>
      </c>
      <c r="E488" s="33"/>
      <c r="F488" s="101">
        <f>F489</f>
        <v>279467.8</v>
      </c>
      <c r="G488" s="101">
        <f>G489</f>
        <v>279467.8</v>
      </c>
    </row>
    <row r="489" spans="1:7" ht="24" x14ac:dyDescent="0.2">
      <c r="A489" s="84" t="s">
        <v>246</v>
      </c>
      <c r="B489" s="30" t="s">
        <v>824</v>
      </c>
      <c r="C489" s="30" t="s">
        <v>825</v>
      </c>
      <c r="D489" s="30" t="s">
        <v>833</v>
      </c>
      <c r="E489" s="30" t="s">
        <v>702</v>
      </c>
      <c r="F489" s="41">
        <f>F490+F491</f>
        <v>279467.8</v>
      </c>
      <c r="G489" s="41">
        <f>G490+G491</f>
        <v>279467.8</v>
      </c>
    </row>
    <row r="490" spans="1:7" x14ac:dyDescent="0.2">
      <c r="A490" s="84" t="s">
        <v>247</v>
      </c>
      <c r="B490" s="30" t="s">
        <v>824</v>
      </c>
      <c r="C490" s="30" t="s">
        <v>825</v>
      </c>
      <c r="D490" s="30" t="s">
        <v>833</v>
      </c>
      <c r="E490" s="30" t="s">
        <v>724</v>
      </c>
      <c r="F490" s="41">
        <f>272913.8+10000-13100</f>
        <v>269813.8</v>
      </c>
      <c r="G490" s="41">
        <f>272913.8+10000-13100</f>
        <v>269813.8</v>
      </c>
    </row>
    <row r="491" spans="1:7" x14ac:dyDescent="0.2">
      <c r="A491" s="84" t="s">
        <v>108</v>
      </c>
      <c r="B491" s="30" t="s">
        <v>824</v>
      </c>
      <c r="C491" s="30" t="s">
        <v>825</v>
      </c>
      <c r="D491" s="30" t="s">
        <v>833</v>
      </c>
      <c r="E491" s="30" t="s">
        <v>109</v>
      </c>
      <c r="F491" s="41">
        <v>9654</v>
      </c>
      <c r="G491" s="41">
        <v>9654</v>
      </c>
    </row>
    <row r="492" spans="1:7" ht="48" x14ac:dyDescent="0.2">
      <c r="A492" s="62" t="s">
        <v>664</v>
      </c>
      <c r="B492" s="25" t="s">
        <v>824</v>
      </c>
      <c r="C492" s="25" t="s">
        <v>825</v>
      </c>
      <c r="D492" s="25" t="s">
        <v>448</v>
      </c>
      <c r="E492" s="25"/>
      <c r="F492" s="45">
        <f>F493</f>
        <v>738000</v>
      </c>
      <c r="G492" s="45">
        <f>G493</f>
        <v>715000</v>
      </c>
    </row>
    <row r="493" spans="1:7" ht="24" x14ac:dyDescent="0.2">
      <c r="A493" s="84" t="s">
        <v>246</v>
      </c>
      <c r="B493" s="30" t="s">
        <v>824</v>
      </c>
      <c r="C493" s="30" t="s">
        <v>825</v>
      </c>
      <c r="D493" s="30" t="s">
        <v>448</v>
      </c>
      <c r="E493" s="30" t="s">
        <v>702</v>
      </c>
      <c r="F493" s="41">
        <f>F494+F495</f>
        <v>738000</v>
      </c>
      <c r="G493" s="41">
        <f>G494+G495</f>
        <v>715000</v>
      </c>
    </row>
    <row r="494" spans="1:7" x14ac:dyDescent="0.2">
      <c r="A494" s="84" t="s">
        <v>247</v>
      </c>
      <c r="B494" s="30" t="s">
        <v>824</v>
      </c>
      <c r="C494" s="30" t="s">
        <v>825</v>
      </c>
      <c r="D494" s="30" t="s">
        <v>448</v>
      </c>
      <c r="E494" s="30" t="s">
        <v>724</v>
      </c>
      <c r="F494" s="41">
        <v>703200</v>
      </c>
      <c r="G494" s="41">
        <v>680200</v>
      </c>
    </row>
    <row r="495" spans="1:7" x14ac:dyDescent="0.2">
      <c r="A495" s="84" t="s">
        <v>108</v>
      </c>
      <c r="B495" s="30" t="s">
        <v>824</v>
      </c>
      <c r="C495" s="30" t="s">
        <v>825</v>
      </c>
      <c r="D495" s="30" t="s">
        <v>448</v>
      </c>
      <c r="E495" s="30" t="s">
        <v>109</v>
      </c>
      <c r="F495" s="41">
        <v>34800</v>
      </c>
      <c r="G495" s="41">
        <v>34800</v>
      </c>
    </row>
    <row r="496" spans="1:7" x14ac:dyDescent="0.2">
      <c r="A496" s="80" t="s">
        <v>461</v>
      </c>
      <c r="B496" s="24" t="s">
        <v>824</v>
      </c>
      <c r="C496" s="24" t="s">
        <v>825</v>
      </c>
      <c r="D496" s="24" t="s">
        <v>332</v>
      </c>
      <c r="E496" s="24"/>
      <c r="F496" s="42">
        <f>F497</f>
        <v>20000</v>
      </c>
      <c r="G496" s="42">
        <f>G497</f>
        <v>20000</v>
      </c>
    </row>
    <row r="497" spans="1:7" x14ac:dyDescent="0.2">
      <c r="A497" s="123" t="s">
        <v>342</v>
      </c>
      <c r="B497" s="25" t="s">
        <v>824</v>
      </c>
      <c r="C497" s="25" t="s">
        <v>825</v>
      </c>
      <c r="D497" s="25" t="s">
        <v>834</v>
      </c>
      <c r="E497" s="25"/>
      <c r="F497" s="45">
        <f>F498</f>
        <v>20000</v>
      </c>
      <c r="G497" s="45">
        <f>G498</f>
        <v>20000</v>
      </c>
    </row>
    <row r="498" spans="1:7" ht="24" x14ac:dyDescent="0.2">
      <c r="A498" s="84" t="s">
        <v>246</v>
      </c>
      <c r="B498" s="30" t="s">
        <v>824</v>
      </c>
      <c r="C498" s="30" t="s">
        <v>825</v>
      </c>
      <c r="D498" s="30" t="s">
        <v>835</v>
      </c>
      <c r="E498" s="30" t="s">
        <v>702</v>
      </c>
      <c r="F498" s="41">
        <f>F499+F500</f>
        <v>20000</v>
      </c>
      <c r="G498" s="41">
        <f>G499+G500</f>
        <v>20000</v>
      </c>
    </row>
    <row r="499" spans="1:7" x14ac:dyDescent="0.2">
      <c r="A499" s="84" t="s">
        <v>247</v>
      </c>
      <c r="B499" s="30" t="s">
        <v>824</v>
      </c>
      <c r="C499" s="30" t="s">
        <v>825</v>
      </c>
      <c r="D499" s="30" t="s">
        <v>835</v>
      </c>
      <c r="E499" s="30" t="s">
        <v>724</v>
      </c>
      <c r="F499" s="41">
        <v>19142</v>
      </c>
      <c r="G499" s="41">
        <v>19142</v>
      </c>
    </row>
    <row r="500" spans="1:7" x14ac:dyDescent="0.2">
      <c r="A500" s="84" t="s">
        <v>108</v>
      </c>
      <c r="B500" s="30" t="s">
        <v>824</v>
      </c>
      <c r="C500" s="30" t="s">
        <v>825</v>
      </c>
      <c r="D500" s="30" t="s">
        <v>835</v>
      </c>
      <c r="E500" s="30" t="s">
        <v>109</v>
      </c>
      <c r="F500" s="41">
        <v>858</v>
      </c>
      <c r="G500" s="41">
        <v>858</v>
      </c>
    </row>
    <row r="501" spans="1:7" x14ac:dyDescent="0.2">
      <c r="A501" s="80" t="s">
        <v>449</v>
      </c>
      <c r="B501" s="24" t="s">
        <v>824</v>
      </c>
      <c r="C501" s="24" t="s">
        <v>817</v>
      </c>
      <c r="D501" s="24"/>
      <c r="E501" s="24"/>
      <c r="F501" s="42">
        <f>F502+F508+F514</f>
        <v>218951.19999999998</v>
      </c>
      <c r="G501" s="42">
        <f>G502+G508+G514</f>
        <v>218951.19999999998</v>
      </c>
    </row>
    <row r="502" spans="1:7" ht="27" x14ac:dyDescent="0.2">
      <c r="A502" s="86" t="s">
        <v>831</v>
      </c>
      <c r="B502" s="53" t="s">
        <v>824</v>
      </c>
      <c r="C502" s="53" t="s">
        <v>817</v>
      </c>
      <c r="D502" s="53" t="s">
        <v>323</v>
      </c>
      <c r="E502" s="33"/>
      <c r="F502" s="57">
        <f t="shared" ref="F502:G504" si="11">F503</f>
        <v>97634.2</v>
      </c>
      <c r="G502" s="57">
        <f t="shared" si="11"/>
        <v>97634.2</v>
      </c>
    </row>
    <row r="503" spans="1:7" x14ac:dyDescent="0.2">
      <c r="A503" s="80" t="s">
        <v>445</v>
      </c>
      <c r="B503" s="24" t="s">
        <v>824</v>
      </c>
      <c r="C503" s="24" t="s">
        <v>817</v>
      </c>
      <c r="D503" s="24" t="s">
        <v>324</v>
      </c>
      <c r="E503" s="30"/>
      <c r="F503" s="42">
        <f t="shared" si="11"/>
        <v>97634.2</v>
      </c>
      <c r="G503" s="42">
        <f t="shared" si="11"/>
        <v>97634.2</v>
      </c>
    </row>
    <row r="504" spans="1:7" ht="24" x14ac:dyDescent="0.2">
      <c r="A504" s="83" t="s">
        <v>450</v>
      </c>
      <c r="B504" s="25" t="s">
        <v>824</v>
      </c>
      <c r="C504" s="25" t="s">
        <v>817</v>
      </c>
      <c r="D504" s="25" t="s">
        <v>330</v>
      </c>
      <c r="E504" s="25"/>
      <c r="F504" s="45">
        <f t="shared" si="11"/>
        <v>97634.2</v>
      </c>
      <c r="G504" s="45">
        <f t="shared" si="11"/>
        <v>97634.2</v>
      </c>
    </row>
    <row r="505" spans="1:7" ht="24" x14ac:dyDescent="0.2">
      <c r="A505" s="84" t="s">
        <v>246</v>
      </c>
      <c r="B505" s="30" t="s">
        <v>824</v>
      </c>
      <c r="C505" s="30" t="s">
        <v>817</v>
      </c>
      <c r="D505" s="30" t="s">
        <v>836</v>
      </c>
      <c r="E505" s="30" t="s">
        <v>702</v>
      </c>
      <c r="F505" s="41">
        <f>F506+F507</f>
        <v>97634.2</v>
      </c>
      <c r="G505" s="41">
        <f>G506+G507</f>
        <v>97634.2</v>
      </c>
    </row>
    <row r="506" spans="1:7" x14ac:dyDescent="0.2">
      <c r="A506" s="84" t="s">
        <v>247</v>
      </c>
      <c r="B506" s="30" t="s">
        <v>824</v>
      </c>
      <c r="C506" s="30" t="s">
        <v>817</v>
      </c>
      <c r="D506" s="30" t="s">
        <v>836</v>
      </c>
      <c r="E506" s="30" t="s">
        <v>724</v>
      </c>
      <c r="F506" s="41">
        <v>2873</v>
      </c>
      <c r="G506" s="41">
        <v>2873</v>
      </c>
    </row>
    <row r="507" spans="1:7" x14ac:dyDescent="0.2">
      <c r="A507" s="84" t="s">
        <v>108</v>
      </c>
      <c r="B507" s="30" t="s">
        <v>824</v>
      </c>
      <c r="C507" s="30" t="s">
        <v>817</v>
      </c>
      <c r="D507" s="30" t="s">
        <v>836</v>
      </c>
      <c r="E507" s="30" t="s">
        <v>109</v>
      </c>
      <c r="F507" s="41">
        <v>94761.2</v>
      </c>
      <c r="G507" s="41">
        <v>94761.2</v>
      </c>
    </row>
    <row r="508" spans="1:7" ht="27" x14ac:dyDescent="0.2">
      <c r="A508" s="86" t="s">
        <v>548</v>
      </c>
      <c r="B508" s="53" t="s">
        <v>824</v>
      </c>
      <c r="C508" s="53" t="s">
        <v>817</v>
      </c>
      <c r="D508" s="53" t="s">
        <v>427</v>
      </c>
      <c r="E508" s="53"/>
      <c r="F508" s="57">
        <f t="shared" ref="F508:G512" si="12">F509</f>
        <v>91873.4</v>
      </c>
      <c r="G508" s="57">
        <f t="shared" si="12"/>
        <v>91873.4</v>
      </c>
    </row>
    <row r="509" spans="1:7" ht="24" x14ac:dyDescent="0.2">
      <c r="A509" s="80" t="s">
        <v>651</v>
      </c>
      <c r="B509" s="24" t="s">
        <v>824</v>
      </c>
      <c r="C509" s="24" t="s">
        <v>817</v>
      </c>
      <c r="D509" s="24" t="s">
        <v>428</v>
      </c>
      <c r="E509" s="24"/>
      <c r="F509" s="42">
        <f t="shared" si="12"/>
        <v>91873.4</v>
      </c>
      <c r="G509" s="42">
        <f t="shared" si="12"/>
        <v>91873.4</v>
      </c>
    </row>
    <row r="510" spans="1:7" ht="24" x14ac:dyDescent="0.2">
      <c r="A510" s="80" t="s">
        <v>652</v>
      </c>
      <c r="B510" s="24" t="s">
        <v>824</v>
      </c>
      <c r="C510" s="24" t="s">
        <v>817</v>
      </c>
      <c r="D510" s="24" t="s">
        <v>90</v>
      </c>
      <c r="E510" s="24"/>
      <c r="F510" s="42">
        <f t="shared" si="12"/>
        <v>91873.4</v>
      </c>
      <c r="G510" s="42">
        <f t="shared" si="12"/>
        <v>91873.4</v>
      </c>
    </row>
    <row r="511" spans="1:7" ht="24" x14ac:dyDescent="0.2">
      <c r="A511" s="85" t="s">
        <v>494</v>
      </c>
      <c r="B511" s="33" t="s">
        <v>824</v>
      </c>
      <c r="C511" s="33" t="s">
        <v>817</v>
      </c>
      <c r="D511" s="33" t="s">
        <v>90</v>
      </c>
      <c r="E511" s="25"/>
      <c r="F511" s="45">
        <f t="shared" si="12"/>
        <v>91873.4</v>
      </c>
      <c r="G511" s="45">
        <f t="shared" si="12"/>
        <v>91873.4</v>
      </c>
    </row>
    <row r="512" spans="1:7" ht="24" x14ac:dyDescent="0.2">
      <c r="A512" s="84" t="s">
        <v>246</v>
      </c>
      <c r="B512" s="30" t="s">
        <v>824</v>
      </c>
      <c r="C512" s="30" t="s">
        <v>817</v>
      </c>
      <c r="D512" s="30" t="s">
        <v>90</v>
      </c>
      <c r="E512" s="30" t="s">
        <v>702</v>
      </c>
      <c r="F512" s="41">
        <f t="shared" si="12"/>
        <v>91873.4</v>
      </c>
      <c r="G512" s="41">
        <f t="shared" si="12"/>
        <v>91873.4</v>
      </c>
    </row>
    <row r="513" spans="1:7" x14ac:dyDescent="0.2">
      <c r="A513" s="84" t="s">
        <v>247</v>
      </c>
      <c r="B513" s="30" t="s">
        <v>824</v>
      </c>
      <c r="C513" s="30" t="s">
        <v>817</v>
      </c>
      <c r="D513" s="30" t="s">
        <v>90</v>
      </c>
      <c r="E513" s="30" t="s">
        <v>724</v>
      </c>
      <c r="F513" s="41">
        <v>91873.4</v>
      </c>
      <c r="G513" s="41">
        <v>91873.4</v>
      </c>
    </row>
    <row r="514" spans="1:7" ht="27" x14ac:dyDescent="0.2">
      <c r="A514" s="86" t="s">
        <v>85</v>
      </c>
      <c r="B514" s="53" t="s">
        <v>824</v>
      </c>
      <c r="C514" s="53" t="s">
        <v>817</v>
      </c>
      <c r="D514" s="53" t="s">
        <v>175</v>
      </c>
      <c r="E514" s="53"/>
      <c r="F514" s="57">
        <f t="shared" ref="F514:G518" si="13">F515</f>
        <v>29443.599999999999</v>
      </c>
      <c r="G514" s="57">
        <f t="shared" si="13"/>
        <v>29443.599999999999</v>
      </c>
    </row>
    <row r="515" spans="1:7" ht="24" x14ac:dyDescent="0.2">
      <c r="A515" s="75" t="s">
        <v>174</v>
      </c>
      <c r="B515" s="24" t="s">
        <v>824</v>
      </c>
      <c r="C515" s="24" t="s">
        <v>817</v>
      </c>
      <c r="D515" s="24" t="s">
        <v>176</v>
      </c>
      <c r="E515" s="24"/>
      <c r="F515" s="42">
        <f t="shared" si="13"/>
        <v>29443.599999999999</v>
      </c>
      <c r="G515" s="42">
        <f t="shared" si="13"/>
        <v>29443.599999999999</v>
      </c>
    </row>
    <row r="516" spans="1:7" ht="15" customHeight="1" x14ac:dyDescent="0.2">
      <c r="A516" s="75" t="s">
        <v>177</v>
      </c>
      <c r="B516" s="24" t="s">
        <v>824</v>
      </c>
      <c r="C516" s="24" t="s">
        <v>817</v>
      </c>
      <c r="D516" s="24" t="s">
        <v>87</v>
      </c>
      <c r="E516" s="24"/>
      <c r="F516" s="42">
        <f t="shared" si="13"/>
        <v>29443.599999999999</v>
      </c>
      <c r="G516" s="42">
        <f t="shared" si="13"/>
        <v>29443.599999999999</v>
      </c>
    </row>
    <row r="517" spans="1:7" ht="24" x14ac:dyDescent="0.2">
      <c r="A517" s="105" t="s">
        <v>494</v>
      </c>
      <c r="B517" s="33" t="s">
        <v>824</v>
      </c>
      <c r="C517" s="33" t="s">
        <v>817</v>
      </c>
      <c r="D517" s="33" t="s">
        <v>87</v>
      </c>
      <c r="E517" s="33"/>
      <c r="F517" s="101">
        <f t="shared" si="13"/>
        <v>29443.599999999999</v>
      </c>
      <c r="G517" s="101">
        <f t="shared" si="13"/>
        <v>29443.599999999999</v>
      </c>
    </row>
    <row r="518" spans="1:7" ht="24" x14ac:dyDescent="0.2">
      <c r="A518" s="84" t="s">
        <v>246</v>
      </c>
      <c r="B518" s="30" t="s">
        <v>824</v>
      </c>
      <c r="C518" s="30" t="s">
        <v>817</v>
      </c>
      <c r="D518" s="30" t="s">
        <v>87</v>
      </c>
      <c r="E518" s="30" t="s">
        <v>702</v>
      </c>
      <c r="F518" s="41">
        <f t="shared" si="13"/>
        <v>29443.599999999999</v>
      </c>
      <c r="G518" s="41">
        <f t="shared" si="13"/>
        <v>29443.599999999999</v>
      </c>
    </row>
    <row r="519" spans="1:7" x14ac:dyDescent="0.2">
      <c r="A519" s="84" t="s">
        <v>108</v>
      </c>
      <c r="B519" s="30" t="s">
        <v>824</v>
      </c>
      <c r="C519" s="30" t="s">
        <v>817</v>
      </c>
      <c r="D519" s="30" t="s">
        <v>87</v>
      </c>
      <c r="E519" s="30" t="s">
        <v>109</v>
      </c>
      <c r="F519" s="41">
        <v>29443.599999999999</v>
      </c>
      <c r="G519" s="41">
        <v>29443.599999999999</v>
      </c>
    </row>
    <row r="520" spans="1:7" x14ac:dyDescent="0.2">
      <c r="A520" s="80" t="s">
        <v>676</v>
      </c>
      <c r="B520" s="24" t="s">
        <v>824</v>
      </c>
      <c r="C520" s="24" t="s">
        <v>824</v>
      </c>
      <c r="D520" s="24"/>
      <c r="E520" s="24"/>
      <c r="F520" s="42">
        <f>F521+F532+F537</f>
        <v>6250</v>
      </c>
      <c r="G520" s="42">
        <f>G521+G532+G537</f>
        <v>6250</v>
      </c>
    </row>
    <row r="521" spans="1:7" ht="27" x14ac:dyDescent="0.2">
      <c r="A521" s="86" t="s">
        <v>548</v>
      </c>
      <c r="B521" s="53" t="s">
        <v>824</v>
      </c>
      <c r="C521" s="53" t="s">
        <v>824</v>
      </c>
      <c r="D521" s="53" t="s">
        <v>427</v>
      </c>
      <c r="E521" s="53"/>
      <c r="F521" s="57">
        <f>F522</f>
        <v>2500</v>
      </c>
      <c r="G521" s="57">
        <f>G522</f>
        <v>2500</v>
      </c>
    </row>
    <row r="522" spans="1:7" ht="13.5" customHeight="1" x14ac:dyDescent="0.2">
      <c r="A522" s="86" t="s">
        <v>650</v>
      </c>
      <c r="B522" s="53" t="s">
        <v>824</v>
      </c>
      <c r="C522" s="53" t="s">
        <v>824</v>
      </c>
      <c r="D522" s="53" t="s">
        <v>433</v>
      </c>
      <c r="E522" s="53"/>
      <c r="F522" s="57">
        <f>F523+F526+F529</f>
        <v>2500</v>
      </c>
      <c r="G522" s="57">
        <f>G523+G526+G529</f>
        <v>2500</v>
      </c>
    </row>
    <row r="523" spans="1:7" x14ac:dyDescent="0.2">
      <c r="A523" s="75" t="s">
        <v>434</v>
      </c>
      <c r="B523" s="24" t="s">
        <v>824</v>
      </c>
      <c r="C523" s="24" t="s">
        <v>824</v>
      </c>
      <c r="D523" s="24" t="s">
        <v>91</v>
      </c>
      <c r="E523" s="24"/>
      <c r="F523" s="42">
        <f>F524</f>
        <v>1850</v>
      </c>
      <c r="G523" s="42">
        <f>G524</f>
        <v>1850</v>
      </c>
    </row>
    <row r="524" spans="1:7" x14ac:dyDescent="0.2">
      <c r="A524" s="84" t="s">
        <v>473</v>
      </c>
      <c r="B524" s="30" t="s">
        <v>824</v>
      </c>
      <c r="C524" s="30" t="s">
        <v>824</v>
      </c>
      <c r="D524" s="30" t="s">
        <v>91</v>
      </c>
      <c r="E524" s="30" t="s">
        <v>226</v>
      </c>
      <c r="F524" s="41">
        <f>F525</f>
        <v>1850</v>
      </c>
      <c r="G524" s="41">
        <f>G525</f>
        <v>1850</v>
      </c>
    </row>
    <row r="525" spans="1:7" x14ac:dyDescent="0.2">
      <c r="A525" s="84" t="s">
        <v>227</v>
      </c>
      <c r="B525" s="30" t="s">
        <v>824</v>
      </c>
      <c r="C525" s="30" t="s">
        <v>824</v>
      </c>
      <c r="D525" s="30" t="s">
        <v>91</v>
      </c>
      <c r="E525" s="30" t="s">
        <v>228</v>
      </c>
      <c r="F525" s="41">
        <v>1850</v>
      </c>
      <c r="G525" s="41">
        <v>1850</v>
      </c>
    </row>
    <row r="526" spans="1:7" x14ac:dyDescent="0.2">
      <c r="A526" s="75" t="s">
        <v>435</v>
      </c>
      <c r="B526" s="24" t="s">
        <v>824</v>
      </c>
      <c r="C526" s="24" t="s">
        <v>824</v>
      </c>
      <c r="D526" s="24" t="s">
        <v>92</v>
      </c>
      <c r="E526" s="24"/>
      <c r="F526" s="42">
        <f>F527</f>
        <v>150</v>
      </c>
      <c r="G526" s="42">
        <f>G527</f>
        <v>150</v>
      </c>
    </row>
    <row r="527" spans="1:7" x14ac:dyDescent="0.2">
      <c r="A527" s="84" t="s">
        <v>473</v>
      </c>
      <c r="B527" s="30" t="s">
        <v>824</v>
      </c>
      <c r="C527" s="30" t="s">
        <v>824</v>
      </c>
      <c r="D527" s="30" t="s">
        <v>92</v>
      </c>
      <c r="E527" s="30" t="s">
        <v>226</v>
      </c>
      <c r="F527" s="41">
        <f>F528</f>
        <v>150</v>
      </c>
      <c r="G527" s="41">
        <f>G528</f>
        <v>150</v>
      </c>
    </row>
    <row r="528" spans="1:7" x14ac:dyDescent="0.2">
      <c r="A528" s="84" t="s">
        <v>227</v>
      </c>
      <c r="B528" s="30" t="s">
        <v>824</v>
      </c>
      <c r="C528" s="30" t="s">
        <v>824</v>
      </c>
      <c r="D528" s="30" t="s">
        <v>92</v>
      </c>
      <c r="E528" s="30" t="s">
        <v>228</v>
      </c>
      <c r="F528" s="41">
        <v>150</v>
      </c>
      <c r="G528" s="41">
        <v>150</v>
      </c>
    </row>
    <row r="529" spans="1:7" ht="24" x14ac:dyDescent="0.2">
      <c r="A529" s="80" t="s">
        <v>203</v>
      </c>
      <c r="B529" s="24" t="s">
        <v>824</v>
      </c>
      <c r="C529" s="24" t="s">
        <v>824</v>
      </c>
      <c r="D529" s="24" t="s">
        <v>93</v>
      </c>
      <c r="E529" s="24"/>
      <c r="F529" s="42">
        <f>F530</f>
        <v>500</v>
      </c>
      <c r="G529" s="42">
        <f>G530</f>
        <v>500</v>
      </c>
    </row>
    <row r="530" spans="1:7" ht="24" x14ac:dyDescent="0.2">
      <c r="A530" s="84" t="s">
        <v>246</v>
      </c>
      <c r="B530" s="30" t="s">
        <v>824</v>
      </c>
      <c r="C530" s="30" t="s">
        <v>824</v>
      </c>
      <c r="D530" s="30" t="s">
        <v>93</v>
      </c>
      <c r="E530" s="30" t="s">
        <v>702</v>
      </c>
      <c r="F530" s="41">
        <f>F531</f>
        <v>500</v>
      </c>
      <c r="G530" s="41">
        <f>G531</f>
        <v>500</v>
      </c>
    </row>
    <row r="531" spans="1:7" ht="24" x14ac:dyDescent="0.2">
      <c r="A531" s="172" t="s">
        <v>290</v>
      </c>
      <c r="B531" s="30" t="s">
        <v>824</v>
      </c>
      <c r="C531" s="30" t="s">
        <v>824</v>
      </c>
      <c r="D531" s="30" t="s">
        <v>93</v>
      </c>
      <c r="E531" s="30" t="s">
        <v>794</v>
      </c>
      <c r="F531" s="41">
        <v>500</v>
      </c>
      <c r="G531" s="41">
        <v>500</v>
      </c>
    </row>
    <row r="532" spans="1:7" ht="27" x14ac:dyDescent="0.2">
      <c r="A532" s="86" t="s">
        <v>85</v>
      </c>
      <c r="B532" s="53" t="s">
        <v>824</v>
      </c>
      <c r="C532" s="53" t="s">
        <v>824</v>
      </c>
      <c r="D532" s="53" t="s">
        <v>175</v>
      </c>
      <c r="E532" s="30"/>
      <c r="F532" s="42">
        <f t="shared" ref="F532:G535" si="14">F533</f>
        <v>3000</v>
      </c>
      <c r="G532" s="42">
        <f t="shared" si="14"/>
        <v>3000</v>
      </c>
    </row>
    <row r="533" spans="1:7" x14ac:dyDescent="0.2">
      <c r="A533" s="75" t="s">
        <v>178</v>
      </c>
      <c r="B533" s="24" t="s">
        <v>824</v>
      </c>
      <c r="C533" s="24" t="s">
        <v>824</v>
      </c>
      <c r="D533" s="24" t="s">
        <v>179</v>
      </c>
      <c r="E533" s="24"/>
      <c r="F533" s="42">
        <f t="shared" si="14"/>
        <v>3000</v>
      </c>
      <c r="G533" s="42">
        <f t="shared" si="14"/>
        <v>3000</v>
      </c>
    </row>
    <row r="534" spans="1:7" ht="24" x14ac:dyDescent="0.2">
      <c r="A534" s="83" t="s">
        <v>561</v>
      </c>
      <c r="B534" s="25" t="s">
        <v>824</v>
      </c>
      <c r="C534" s="25" t="s">
        <v>824</v>
      </c>
      <c r="D534" s="25" t="s">
        <v>86</v>
      </c>
      <c r="E534" s="25"/>
      <c r="F534" s="45">
        <f t="shared" si="14"/>
        <v>3000</v>
      </c>
      <c r="G534" s="45">
        <f t="shared" si="14"/>
        <v>3000</v>
      </c>
    </row>
    <row r="535" spans="1:7" x14ac:dyDescent="0.2">
      <c r="A535" s="84" t="s">
        <v>473</v>
      </c>
      <c r="B535" s="30" t="s">
        <v>824</v>
      </c>
      <c r="C535" s="30" t="s">
        <v>824</v>
      </c>
      <c r="D535" s="30" t="s">
        <v>86</v>
      </c>
      <c r="E535" s="30" t="s">
        <v>226</v>
      </c>
      <c r="F535" s="41">
        <f t="shared" si="14"/>
        <v>3000</v>
      </c>
      <c r="G535" s="41">
        <f t="shared" si="14"/>
        <v>3000</v>
      </c>
    </row>
    <row r="536" spans="1:7" x14ac:dyDescent="0.2">
      <c r="A536" s="84" t="s">
        <v>227</v>
      </c>
      <c r="B536" s="30" t="s">
        <v>824</v>
      </c>
      <c r="C536" s="30" t="s">
        <v>824</v>
      </c>
      <c r="D536" s="30" t="s">
        <v>86</v>
      </c>
      <c r="E536" s="30" t="s">
        <v>228</v>
      </c>
      <c r="F536" s="41">
        <v>3000</v>
      </c>
      <c r="G536" s="41">
        <v>3000</v>
      </c>
    </row>
    <row r="537" spans="1:7" x14ac:dyDescent="0.2">
      <c r="A537" s="81" t="s">
        <v>212</v>
      </c>
      <c r="B537" s="25" t="s">
        <v>824</v>
      </c>
      <c r="C537" s="25" t="s">
        <v>824</v>
      </c>
      <c r="D537" s="25" t="s">
        <v>382</v>
      </c>
      <c r="E537" s="25"/>
      <c r="F537" s="45">
        <f t="shared" ref="F537:G539" si="15">F538</f>
        <v>750</v>
      </c>
      <c r="G537" s="45">
        <f t="shared" si="15"/>
        <v>750</v>
      </c>
    </row>
    <row r="538" spans="1:7" x14ac:dyDescent="0.2">
      <c r="A538" s="82" t="s">
        <v>476</v>
      </c>
      <c r="B538" s="24" t="s">
        <v>824</v>
      </c>
      <c r="C538" s="24" t="s">
        <v>824</v>
      </c>
      <c r="D538" s="24" t="s">
        <v>383</v>
      </c>
      <c r="E538" s="24"/>
      <c r="F538" s="42">
        <f t="shared" si="15"/>
        <v>750</v>
      </c>
      <c r="G538" s="42">
        <f t="shared" si="15"/>
        <v>750</v>
      </c>
    </row>
    <row r="539" spans="1:7" x14ac:dyDescent="0.2">
      <c r="A539" s="81" t="s">
        <v>514</v>
      </c>
      <c r="B539" s="25" t="s">
        <v>824</v>
      </c>
      <c r="C539" s="25" t="s">
        <v>824</v>
      </c>
      <c r="D539" s="25" t="s">
        <v>42</v>
      </c>
      <c r="E539" s="25"/>
      <c r="F539" s="45">
        <f t="shared" si="15"/>
        <v>750</v>
      </c>
      <c r="G539" s="45">
        <f t="shared" si="15"/>
        <v>750</v>
      </c>
    </row>
    <row r="540" spans="1:7" x14ac:dyDescent="0.2">
      <c r="A540" s="84" t="s">
        <v>473</v>
      </c>
      <c r="B540" s="30" t="s">
        <v>824</v>
      </c>
      <c r="C540" s="30" t="s">
        <v>824</v>
      </c>
      <c r="D540" s="30" t="s">
        <v>42</v>
      </c>
      <c r="E540" s="30" t="s">
        <v>226</v>
      </c>
      <c r="F540" s="41">
        <f>F541</f>
        <v>750</v>
      </c>
      <c r="G540" s="41">
        <f>G541</f>
        <v>750</v>
      </c>
    </row>
    <row r="541" spans="1:7" x14ac:dyDescent="0.2">
      <c r="A541" s="84" t="s">
        <v>227</v>
      </c>
      <c r="B541" s="30" t="s">
        <v>824</v>
      </c>
      <c r="C541" s="30" t="s">
        <v>824</v>
      </c>
      <c r="D541" s="30" t="s">
        <v>42</v>
      </c>
      <c r="E541" s="30" t="s">
        <v>228</v>
      </c>
      <c r="F541" s="41">
        <v>750</v>
      </c>
      <c r="G541" s="41">
        <v>750</v>
      </c>
    </row>
    <row r="542" spans="1:7" x14ac:dyDescent="0.2">
      <c r="A542" s="80" t="s">
        <v>677</v>
      </c>
      <c r="B542" s="24" t="s">
        <v>824</v>
      </c>
      <c r="C542" s="24" t="s">
        <v>818</v>
      </c>
      <c r="D542" s="24"/>
      <c r="E542" s="30"/>
      <c r="F542" s="42">
        <f>F543+F583</f>
        <v>146294.39999999999</v>
      </c>
      <c r="G542" s="42">
        <f>G543+G583</f>
        <v>150803.5</v>
      </c>
    </row>
    <row r="543" spans="1:7" ht="27" x14ac:dyDescent="0.2">
      <c r="A543" s="86" t="s">
        <v>831</v>
      </c>
      <c r="B543" s="53" t="s">
        <v>824</v>
      </c>
      <c r="C543" s="53" t="s">
        <v>818</v>
      </c>
      <c r="D543" s="53" t="s">
        <v>323</v>
      </c>
      <c r="E543" s="30"/>
      <c r="F543" s="57">
        <f>F544+F553+F572</f>
        <v>115840</v>
      </c>
      <c r="G543" s="57">
        <f>G544+G553+G572</f>
        <v>115840</v>
      </c>
    </row>
    <row r="544" spans="1:7" x14ac:dyDescent="0.2">
      <c r="A544" s="80" t="s">
        <v>445</v>
      </c>
      <c r="B544" s="24" t="s">
        <v>824</v>
      </c>
      <c r="C544" s="24" t="s">
        <v>818</v>
      </c>
      <c r="D544" s="24" t="s">
        <v>324</v>
      </c>
      <c r="E544" s="24"/>
      <c r="F544" s="42">
        <f>F545+F549</f>
        <v>100094</v>
      </c>
      <c r="G544" s="42">
        <f>G545+G549</f>
        <v>100094</v>
      </c>
    </row>
    <row r="545" spans="1:7" ht="24" x14ac:dyDescent="0.2">
      <c r="A545" s="83" t="s">
        <v>452</v>
      </c>
      <c r="B545" s="25" t="s">
        <v>824</v>
      </c>
      <c r="C545" s="25" t="s">
        <v>818</v>
      </c>
      <c r="D545" s="25" t="s">
        <v>451</v>
      </c>
      <c r="E545" s="25"/>
      <c r="F545" s="45">
        <f>F546</f>
        <v>10000</v>
      </c>
      <c r="G545" s="45">
        <f>G546</f>
        <v>10000</v>
      </c>
    </row>
    <row r="546" spans="1:7" ht="24" x14ac:dyDescent="0.2">
      <c r="A546" s="84" t="s">
        <v>246</v>
      </c>
      <c r="B546" s="30" t="s">
        <v>824</v>
      </c>
      <c r="C546" s="30" t="s">
        <v>818</v>
      </c>
      <c r="D546" s="30" t="s">
        <v>837</v>
      </c>
      <c r="E546" s="30" t="s">
        <v>702</v>
      </c>
      <c r="F546" s="41">
        <f>F547+F548</f>
        <v>10000</v>
      </c>
      <c r="G546" s="41">
        <f>G547+G548</f>
        <v>10000</v>
      </c>
    </row>
    <row r="547" spans="1:7" x14ac:dyDescent="0.2">
      <c r="A547" s="84" t="s">
        <v>247</v>
      </c>
      <c r="B547" s="30" t="s">
        <v>824</v>
      </c>
      <c r="C547" s="30" t="s">
        <v>818</v>
      </c>
      <c r="D547" s="30" t="s">
        <v>837</v>
      </c>
      <c r="E547" s="30" t="s">
        <v>724</v>
      </c>
      <c r="F547" s="41">
        <v>9800</v>
      </c>
      <c r="G547" s="41">
        <v>9800</v>
      </c>
    </row>
    <row r="548" spans="1:7" x14ac:dyDescent="0.2">
      <c r="A548" s="84" t="s">
        <v>108</v>
      </c>
      <c r="B548" s="30" t="s">
        <v>824</v>
      </c>
      <c r="C548" s="30" t="s">
        <v>818</v>
      </c>
      <c r="D548" s="30" t="s">
        <v>837</v>
      </c>
      <c r="E548" s="30" t="s">
        <v>109</v>
      </c>
      <c r="F548" s="41">
        <v>200</v>
      </c>
      <c r="G548" s="41">
        <v>200</v>
      </c>
    </row>
    <row r="549" spans="1:7" x14ac:dyDescent="0.2">
      <c r="A549" s="83" t="s">
        <v>459</v>
      </c>
      <c r="B549" s="33" t="s">
        <v>824</v>
      </c>
      <c r="C549" s="33" t="s">
        <v>818</v>
      </c>
      <c r="D549" s="25" t="s">
        <v>453</v>
      </c>
      <c r="E549" s="25"/>
      <c r="F549" s="45">
        <f>F550</f>
        <v>90094</v>
      </c>
      <c r="G549" s="45">
        <f>G550</f>
        <v>90094</v>
      </c>
    </row>
    <row r="550" spans="1:7" ht="24" x14ac:dyDescent="0.2">
      <c r="A550" s="84" t="s">
        <v>246</v>
      </c>
      <c r="B550" s="30" t="s">
        <v>824</v>
      </c>
      <c r="C550" s="30" t="s">
        <v>818</v>
      </c>
      <c r="D550" s="30" t="s">
        <v>838</v>
      </c>
      <c r="E550" s="30" t="s">
        <v>702</v>
      </c>
      <c r="F550" s="41">
        <f>F551+F552</f>
        <v>90094</v>
      </c>
      <c r="G550" s="41">
        <f>G551+G552</f>
        <v>90094</v>
      </c>
    </row>
    <row r="551" spans="1:7" x14ac:dyDescent="0.2">
      <c r="A551" s="84" t="s">
        <v>247</v>
      </c>
      <c r="B551" s="30" t="s">
        <v>824</v>
      </c>
      <c r="C551" s="30" t="s">
        <v>818</v>
      </c>
      <c r="D551" s="30" t="s">
        <v>838</v>
      </c>
      <c r="E551" s="30" t="s">
        <v>724</v>
      </c>
      <c r="F551" s="41">
        <f>95308.55-6780-4103</f>
        <v>84425.55</v>
      </c>
      <c r="G551" s="41">
        <f>95308.55-6780-4103</f>
        <v>84425.55</v>
      </c>
    </row>
    <row r="552" spans="1:7" x14ac:dyDescent="0.2">
      <c r="A552" s="84" t="s">
        <v>108</v>
      </c>
      <c r="B552" s="30" t="s">
        <v>824</v>
      </c>
      <c r="C552" s="30" t="s">
        <v>818</v>
      </c>
      <c r="D552" s="30" t="s">
        <v>838</v>
      </c>
      <c r="E552" s="30" t="s">
        <v>109</v>
      </c>
      <c r="F552" s="41">
        <f>6028.45-360</f>
        <v>5668.45</v>
      </c>
      <c r="G552" s="41">
        <f>6028.45-360</f>
        <v>5668.45</v>
      </c>
    </row>
    <row r="553" spans="1:7" x14ac:dyDescent="0.2">
      <c r="A553" s="80" t="s">
        <v>790</v>
      </c>
      <c r="B553" s="24" t="s">
        <v>824</v>
      </c>
      <c r="C553" s="24" t="s">
        <v>818</v>
      </c>
      <c r="D553" s="24" t="s">
        <v>331</v>
      </c>
      <c r="E553" s="24"/>
      <c r="F553" s="42">
        <f>F554+F562+F567</f>
        <v>6120</v>
      </c>
      <c r="G553" s="42">
        <f>G554+G562+G567</f>
        <v>6120</v>
      </c>
    </row>
    <row r="554" spans="1:7" ht="25.5" x14ac:dyDescent="0.2">
      <c r="A554" s="68" t="s">
        <v>334</v>
      </c>
      <c r="B554" s="24" t="s">
        <v>824</v>
      </c>
      <c r="C554" s="24" t="s">
        <v>818</v>
      </c>
      <c r="D554" s="24" t="s">
        <v>289</v>
      </c>
      <c r="E554" s="25"/>
      <c r="F554" s="42">
        <f>F555</f>
        <v>3785</v>
      </c>
      <c r="G554" s="42">
        <f>G555</f>
        <v>3785</v>
      </c>
    </row>
    <row r="555" spans="1:7" x14ac:dyDescent="0.2">
      <c r="A555" s="85" t="s">
        <v>819</v>
      </c>
      <c r="B555" s="33" t="s">
        <v>824</v>
      </c>
      <c r="C555" s="33" t="s">
        <v>818</v>
      </c>
      <c r="D555" s="33" t="s">
        <v>839</v>
      </c>
      <c r="E555" s="33"/>
      <c r="F555" s="101">
        <f>F556+F558+F560</f>
        <v>3785</v>
      </c>
      <c r="G555" s="101">
        <f>G556+G558+G560</f>
        <v>3785</v>
      </c>
    </row>
    <row r="556" spans="1:7" ht="36" x14ac:dyDescent="0.2">
      <c r="A556" s="84" t="s">
        <v>217</v>
      </c>
      <c r="B556" s="30" t="s">
        <v>824</v>
      </c>
      <c r="C556" s="30" t="s">
        <v>818</v>
      </c>
      <c r="D556" s="30" t="s">
        <v>839</v>
      </c>
      <c r="E556" s="30" t="s">
        <v>218</v>
      </c>
      <c r="F556" s="41">
        <f>F557</f>
        <v>3600</v>
      </c>
      <c r="G556" s="41">
        <f>G557</f>
        <v>3600</v>
      </c>
    </row>
    <row r="557" spans="1:7" x14ac:dyDescent="0.2">
      <c r="A557" s="84" t="s">
        <v>820</v>
      </c>
      <c r="B557" s="30" t="s">
        <v>824</v>
      </c>
      <c r="C557" s="30" t="s">
        <v>818</v>
      </c>
      <c r="D557" s="30" t="s">
        <v>839</v>
      </c>
      <c r="E557" s="30" t="s">
        <v>821</v>
      </c>
      <c r="F557" s="41">
        <f>2765+835</f>
        <v>3600</v>
      </c>
      <c r="G557" s="41">
        <f>2765+835</f>
        <v>3600</v>
      </c>
    </row>
    <row r="558" spans="1:7" x14ac:dyDescent="0.2">
      <c r="A558" s="84" t="s">
        <v>473</v>
      </c>
      <c r="B558" s="30" t="s">
        <v>824</v>
      </c>
      <c r="C558" s="30" t="s">
        <v>818</v>
      </c>
      <c r="D558" s="30" t="s">
        <v>839</v>
      </c>
      <c r="E558" s="30" t="s">
        <v>226</v>
      </c>
      <c r="F558" s="41">
        <f>F559</f>
        <v>180</v>
      </c>
      <c r="G558" s="41">
        <f>G559</f>
        <v>180</v>
      </c>
    </row>
    <row r="559" spans="1:7" x14ac:dyDescent="0.2">
      <c r="A559" s="84" t="s">
        <v>227</v>
      </c>
      <c r="B559" s="30" t="s">
        <v>824</v>
      </c>
      <c r="C559" s="30" t="s">
        <v>818</v>
      </c>
      <c r="D559" s="30" t="s">
        <v>839</v>
      </c>
      <c r="E559" s="30" t="s">
        <v>228</v>
      </c>
      <c r="F559" s="41">
        <v>180</v>
      </c>
      <c r="G559" s="41">
        <v>180</v>
      </c>
    </row>
    <row r="560" spans="1:7" x14ac:dyDescent="0.2">
      <c r="A560" s="84" t="s">
        <v>229</v>
      </c>
      <c r="B560" s="30" t="s">
        <v>824</v>
      </c>
      <c r="C560" s="30" t="s">
        <v>818</v>
      </c>
      <c r="D560" s="30" t="s">
        <v>839</v>
      </c>
      <c r="E560" s="30" t="s">
        <v>230</v>
      </c>
      <c r="F560" s="103">
        <f>F561</f>
        <v>5</v>
      </c>
      <c r="G560" s="103">
        <f>G561</f>
        <v>5</v>
      </c>
    </row>
    <row r="561" spans="1:7" x14ac:dyDescent="0.2">
      <c r="A561" s="84" t="s">
        <v>311</v>
      </c>
      <c r="B561" s="30" t="s">
        <v>824</v>
      </c>
      <c r="C561" s="30" t="s">
        <v>818</v>
      </c>
      <c r="D561" s="30" t="s">
        <v>839</v>
      </c>
      <c r="E561" s="30" t="s">
        <v>231</v>
      </c>
      <c r="F561" s="103">
        <v>5</v>
      </c>
      <c r="G561" s="103">
        <v>5</v>
      </c>
    </row>
    <row r="562" spans="1:7" ht="24" x14ac:dyDescent="0.2">
      <c r="A562" s="123" t="s">
        <v>460</v>
      </c>
      <c r="B562" s="25" t="s">
        <v>824</v>
      </c>
      <c r="C562" s="25" t="s">
        <v>818</v>
      </c>
      <c r="D562" s="25" t="s">
        <v>840</v>
      </c>
      <c r="E562" s="25"/>
      <c r="F562" s="45">
        <f>F563+F565</f>
        <v>1785</v>
      </c>
      <c r="G562" s="45">
        <f>G563+G565</f>
        <v>1785</v>
      </c>
    </row>
    <row r="563" spans="1:7" ht="36" x14ac:dyDescent="0.2">
      <c r="A563" s="84" t="s">
        <v>217</v>
      </c>
      <c r="B563" s="30" t="s">
        <v>824</v>
      </c>
      <c r="C563" s="30" t="s">
        <v>818</v>
      </c>
      <c r="D563" s="30" t="s">
        <v>840</v>
      </c>
      <c r="E563" s="30" t="s">
        <v>218</v>
      </c>
      <c r="F563" s="41">
        <f>F564</f>
        <v>250</v>
      </c>
      <c r="G563" s="41">
        <f>G564</f>
        <v>250</v>
      </c>
    </row>
    <row r="564" spans="1:7" x14ac:dyDescent="0.2">
      <c r="A564" s="84" t="s">
        <v>820</v>
      </c>
      <c r="B564" s="30" t="s">
        <v>824</v>
      </c>
      <c r="C564" s="30" t="s">
        <v>818</v>
      </c>
      <c r="D564" s="30" t="s">
        <v>840</v>
      </c>
      <c r="E564" s="30" t="s">
        <v>821</v>
      </c>
      <c r="F564" s="41">
        <v>250</v>
      </c>
      <c r="G564" s="41">
        <v>250</v>
      </c>
    </row>
    <row r="565" spans="1:7" x14ac:dyDescent="0.2">
      <c r="A565" s="84" t="s">
        <v>473</v>
      </c>
      <c r="B565" s="30" t="s">
        <v>824</v>
      </c>
      <c r="C565" s="30" t="s">
        <v>818</v>
      </c>
      <c r="D565" s="30" t="s">
        <v>840</v>
      </c>
      <c r="E565" s="30" t="s">
        <v>226</v>
      </c>
      <c r="F565" s="41">
        <f>F566</f>
        <v>1535</v>
      </c>
      <c r="G565" s="41">
        <f>G566</f>
        <v>1535</v>
      </c>
    </row>
    <row r="566" spans="1:7" x14ac:dyDescent="0.2">
      <c r="A566" s="84" t="s">
        <v>227</v>
      </c>
      <c r="B566" s="30" t="s">
        <v>824</v>
      </c>
      <c r="C566" s="30" t="s">
        <v>818</v>
      </c>
      <c r="D566" s="30" t="s">
        <v>840</v>
      </c>
      <c r="E566" s="30" t="s">
        <v>228</v>
      </c>
      <c r="F566" s="41">
        <v>1535</v>
      </c>
      <c r="G566" s="41">
        <v>1535</v>
      </c>
    </row>
    <row r="567" spans="1:7" ht="36" x14ac:dyDescent="0.2">
      <c r="A567" s="105" t="s">
        <v>788</v>
      </c>
      <c r="B567" s="33" t="s">
        <v>824</v>
      </c>
      <c r="C567" s="33" t="s">
        <v>818</v>
      </c>
      <c r="D567" s="33" t="s">
        <v>841</v>
      </c>
      <c r="E567" s="33"/>
      <c r="F567" s="101">
        <f>F568+F570</f>
        <v>550</v>
      </c>
      <c r="G567" s="101">
        <f>G568+G570</f>
        <v>550</v>
      </c>
    </row>
    <row r="568" spans="1:7" ht="36" x14ac:dyDescent="0.2">
      <c r="A568" s="84" t="s">
        <v>217</v>
      </c>
      <c r="B568" s="30" t="s">
        <v>824</v>
      </c>
      <c r="C568" s="30" t="s">
        <v>818</v>
      </c>
      <c r="D568" s="30" t="s">
        <v>841</v>
      </c>
      <c r="E568" s="30" t="s">
        <v>218</v>
      </c>
      <c r="F568" s="41">
        <f>F569</f>
        <v>250</v>
      </c>
      <c r="G568" s="41">
        <f>G569</f>
        <v>250</v>
      </c>
    </row>
    <row r="569" spans="1:7" x14ac:dyDescent="0.2">
      <c r="A569" s="84" t="s">
        <v>820</v>
      </c>
      <c r="B569" s="30" t="s">
        <v>824</v>
      </c>
      <c r="C569" s="30" t="s">
        <v>818</v>
      </c>
      <c r="D569" s="30" t="s">
        <v>841</v>
      </c>
      <c r="E569" s="30" t="s">
        <v>821</v>
      </c>
      <c r="F569" s="41">
        <v>250</v>
      </c>
      <c r="G569" s="41">
        <v>250</v>
      </c>
    </row>
    <row r="570" spans="1:7" x14ac:dyDescent="0.2">
      <c r="A570" s="84" t="s">
        <v>473</v>
      </c>
      <c r="B570" s="30" t="s">
        <v>824</v>
      </c>
      <c r="C570" s="30" t="s">
        <v>818</v>
      </c>
      <c r="D570" s="30" t="s">
        <v>841</v>
      </c>
      <c r="E570" s="30" t="s">
        <v>226</v>
      </c>
      <c r="F570" s="41">
        <f>F571</f>
        <v>300</v>
      </c>
      <c r="G570" s="41">
        <f>G571</f>
        <v>300</v>
      </c>
    </row>
    <row r="571" spans="1:7" x14ac:dyDescent="0.2">
      <c r="A571" s="84" t="s">
        <v>227</v>
      </c>
      <c r="B571" s="30" t="s">
        <v>824</v>
      </c>
      <c r="C571" s="30" t="s">
        <v>818</v>
      </c>
      <c r="D571" s="30" t="s">
        <v>841</v>
      </c>
      <c r="E571" s="30" t="s">
        <v>228</v>
      </c>
      <c r="F571" s="41">
        <v>300</v>
      </c>
      <c r="G571" s="41">
        <v>300</v>
      </c>
    </row>
    <row r="572" spans="1:7" ht="24" x14ac:dyDescent="0.2">
      <c r="A572" s="75" t="s">
        <v>761</v>
      </c>
      <c r="B572" s="24" t="s">
        <v>824</v>
      </c>
      <c r="C572" s="24" t="s">
        <v>818</v>
      </c>
      <c r="D572" s="24" t="s">
        <v>333</v>
      </c>
      <c r="E572" s="24"/>
      <c r="F572" s="42">
        <f>F573</f>
        <v>9626</v>
      </c>
      <c r="G572" s="42">
        <f>G573</f>
        <v>9626</v>
      </c>
    </row>
    <row r="573" spans="1:7" ht="25.5" x14ac:dyDescent="0.2">
      <c r="A573" s="68" t="s">
        <v>340</v>
      </c>
      <c r="B573" s="24" t="s">
        <v>824</v>
      </c>
      <c r="C573" s="24" t="s">
        <v>818</v>
      </c>
      <c r="D573" s="24" t="s">
        <v>333</v>
      </c>
      <c r="E573" s="24"/>
      <c r="F573" s="42">
        <f>F574</f>
        <v>9626</v>
      </c>
      <c r="G573" s="42">
        <f>G574</f>
        <v>9626</v>
      </c>
    </row>
    <row r="574" spans="1:7" ht="24" x14ac:dyDescent="0.2">
      <c r="A574" s="83" t="s">
        <v>704</v>
      </c>
      <c r="B574" s="25" t="s">
        <v>824</v>
      </c>
      <c r="C574" s="25" t="s">
        <v>818</v>
      </c>
      <c r="D574" s="25" t="s">
        <v>333</v>
      </c>
      <c r="E574" s="25"/>
      <c r="F574" s="45">
        <f>F575+F578</f>
        <v>9626</v>
      </c>
      <c r="G574" s="45">
        <f>G575+G578</f>
        <v>9626</v>
      </c>
    </row>
    <row r="575" spans="1:7" x14ac:dyDescent="0.2">
      <c r="A575" s="82" t="s">
        <v>685</v>
      </c>
      <c r="B575" s="24" t="s">
        <v>824</v>
      </c>
      <c r="C575" s="24" t="s">
        <v>818</v>
      </c>
      <c r="D575" s="24" t="s">
        <v>464</v>
      </c>
      <c r="E575" s="24"/>
      <c r="F575" s="42">
        <f>F576</f>
        <v>9114</v>
      </c>
      <c r="G575" s="42">
        <f>G576</f>
        <v>9114</v>
      </c>
    </row>
    <row r="576" spans="1:7" ht="36" x14ac:dyDescent="0.2">
      <c r="A576" s="84" t="s">
        <v>217</v>
      </c>
      <c r="B576" s="30" t="s">
        <v>824</v>
      </c>
      <c r="C576" s="30" t="s">
        <v>818</v>
      </c>
      <c r="D576" s="30" t="s">
        <v>464</v>
      </c>
      <c r="E576" s="30" t="s">
        <v>218</v>
      </c>
      <c r="F576" s="41">
        <f>F577</f>
        <v>9114</v>
      </c>
      <c r="G576" s="41">
        <f>G577</f>
        <v>9114</v>
      </c>
    </row>
    <row r="577" spans="1:7" x14ac:dyDescent="0.2">
      <c r="A577" s="84" t="s">
        <v>219</v>
      </c>
      <c r="B577" s="30" t="s">
        <v>824</v>
      </c>
      <c r="C577" s="30" t="s">
        <v>818</v>
      </c>
      <c r="D577" s="30" t="s">
        <v>464</v>
      </c>
      <c r="E577" s="30" t="s">
        <v>224</v>
      </c>
      <c r="F577" s="41">
        <f>7000+2114</f>
        <v>9114</v>
      </c>
      <c r="G577" s="41">
        <f>7000+2114</f>
        <v>9114</v>
      </c>
    </row>
    <row r="578" spans="1:7" x14ac:dyDescent="0.2">
      <c r="A578" s="80" t="s">
        <v>225</v>
      </c>
      <c r="B578" s="24" t="s">
        <v>824</v>
      </c>
      <c r="C578" s="24" t="s">
        <v>818</v>
      </c>
      <c r="D578" s="24" t="s">
        <v>465</v>
      </c>
      <c r="E578" s="24"/>
      <c r="F578" s="42">
        <f>F579+F581</f>
        <v>512</v>
      </c>
      <c r="G578" s="42">
        <f>G579+G581</f>
        <v>512</v>
      </c>
    </row>
    <row r="579" spans="1:7" x14ac:dyDescent="0.2">
      <c r="A579" s="84" t="s">
        <v>473</v>
      </c>
      <c r="B579" s="30" t="s">
        <v>824</v>
      </c>
      <c r="C579" s="30" t="s">
        <v>818</v>
      </c>
      <c r="D579" s="30" t="s">
        <v>465</v>
      </c>
      <c r="E579" s="30" t="s">
        <v>226</v>
      </c>
      <c r="F579" s="41">
        <f>F580</f>
        <v>497</v>
      </c>
      <c r="G579" s="41">
        <f>G580</f>
        <v>497</v>
      </c>
    </row>
    <row r="580" spans="1:7" x14ac:dyDescent="0.2">
      <c r="A580" s="84" t="s">
        <v>227</v>
      </c>
      <c r="B580" s="30" t="s">
        <v>824</v>
      </c>
      <c r="C580" s="30" t="s">
        <v>818</v>
      </c>
      <c r="D580" s="30" t="s">
        <v>465</v>
      </c>
      <c r="E580" s="30" t="s">
        <v>228</v>
      </c>
      <c r="F580" s="41">
        <v>497</v>
      </c>
      <c r="G580" s="41">
        <v>497</v>
      </c>
    </row>
    <row r="581" spans="1:7" x14ac:dyDescent="0.2">
      <c r="A581" s="84" t="s">
        <v>229</v>
      </c>
      <c r="B581" s="30" t="s">
        <v>824</v>
      </c>
      <c r="C581" s="30" t="s">
        <v>818</v>
      </c>
      <c r="D581" s="30" t="s">
        <v>465</v>
      </c>
      <c r="E581" s="30" t="s">
        <v>230</v>
      </c>
      <c r="F581" s="41">
        <f>F582</f>
        <v>15</v>
      </c>
      <c r="G581" s="41">
        <f>G582</f>
        <v>15</v>
      </c>
    </row>
    <row r="582" spans="1:7" x14ac:dyDescent="0.2">
      <c r="A582" s="84" t="s">
        <v>106</v>
      </c>
      <c r="B582" s="30" t="s">
        <v>824</v>
      </c>
      <c r="C582" s="30" t="s">
        <v>818</v>
      </c>
      <c r="D582" s="30" t="s">
        <v>465</v>
      </c>
      <c r="E582" s="30" t="s">
        <v>231</v>
      </c>
      <c r="F582" s="41">
        <v>15</v>
      </c>
      <c r="G582" s="41">
        <v>15</v>
      </c>
    </row>
    <row r="583" spans="1:7" ht="27" x14ac:dyDescent="0.2">
      <c r="A583" s="86" t="s">
        <v>549</v>
      </c>
      <c r="B583" s="53" t="s">
        <v>824</v>
      </c>
      <c r="C583" s="53" t="s">
        <v>818</v>
      </c>
      <c r="D583" s="53" t="s">
        <v>444</v>
      </c>
      <c r="E583" s="53"/>
      <c r="F583" s="57">
        <f>F584+F587</f>
        <v>30454.400000000001</v>
      </c>
      <c r="G583" s="57">
        <f>G584+G587</f>
        <v>34963.5</v>
      </c>
    </row>
    <row r="584" spans="1:7" x14ac:dyDescent="0.2">
      <c r="A584" s="75" t="s">
        <v>335</v>
      </c>
      <c r="B584" s="24" t="s">
        <v>824</v>
      </c>
      <c r="C584" s="24" t="s">
        <v>818</v>
      </c>
      <c r="D584" s="106" t="s">
        <v>6</v>
      </c>
      <c r="E584" s="24"/>
      <c r="F584" s="42">
        <f>F585</f>
        <v>25454.400000000001</v>
      </c>
      <c r="G584" s="42">
        <f>G585</f>
        <v>29963.5</v>
      </c>
    </row>
    <row r="585" spans="1:7" x14ac:dyDescent="0.2">
      <c r="A585" s="84" t="s">
        <v>473</v>
      </c>
      <c r="B585" s="30" t="s">
        <v>824</v>
      </c>
      <c r="C585" s="30" t="s">
        <v>818</v>
      </c>
      <c r="D585" s="96" t="s">
        <v>6</v>
      </c>
      <c r="E585" s="30" t="s">
        <v>226</v>
      </c>
      <c r="F585" s="41">
        <f>F586</f>
        <v>25454.400000000001</v>
      </c>
      <c r="G585" s="41">
        <f>G586</f>
        <v>29963.5</v>
      </c>
    </row>
    <row r="586" spans="1:7" x14ac:dyDescent="0.2">
      <c r="A586" s="84" t="s">
        <v>227</v>
      </c>
      <c r="B586" s="30" t="s">
        <v>824</v>
      </c>
      <c r="C586" s="30" t="s">
        <v>818</v>
      </c>
      <c r="D586" s="96" t="s">
        <v>6</v>
      </c>
      <c r="E586" s="30" t="s">
        <v>228</v>
      </c>
      <c r="F586" s="41">
        <f>33754.4-8300</f>
        <v>25454.400000000001</v>
      </c>
      <c r="G586" s="41">
        <v>29963.5</v>
      </c>
    </row>
    <row r="587" spans="1:7" x14ac:dyDescent="0.2">
      <c r="A587" s="75" t="s">
        <v>286</v>
      </c>
      <c r="B587" s="24" t="s">
        <v>824</v>
      </c>
      <c r="C587" s="24" t="s">
        <v>818</v>
      </c>
      <c r="D587" s="106" t="s">
        <v>846</v>
      </c>
      <c r="E587" s="24"/>
      <c r="F587" s="117">
        <f>F588</f>
        <v>5000</v>
      </c>
      <c r="G587" s="117">
        <f>G588</f>
        <v>5000</v>
      </c>
    </row>
    <row r="588" spans="1:7" x14ac:dyDescent="0.2">
      <c r="A588" s="84" t="s">
        <v>473</v>
      </c>
      <c r="B588" s="30" t="s">
        <v>824</v>
      </c>
      <c r="C588" s="30" t="s">
        <v>818</v>
      </c>
      <c r="D588" s="30" t="s">
        <v>846</v>
      </c>
      <c r="E588" s="30" t="s">
        <v>226</v>
      </c>
      <c r="F588" s="118">
        <f>F589</f>
        <v>5000</v>
      </c>
      <c r="G588" s="118">
        <f>G589</f>
        <v>5000</v>
      </c>
    </row>
    <row r="589" spans="1:7" x14ac:dyDescent="0.2">
      <c r="A589" s="84" t="s">
        <v>227</v>
      </c>
      <c r="B589" s="30" t="s">
        <v>824</v>
      </c>
      <c r="C589" s="30" t="s">
        <v>818</v>
      </c>
      <c r="D589" s="30" t="s">
        <v>846</v>
      </c>
      <c r="E589" s="30" t="s">
        <v>228</v>
      </c>
      <c r="F589" s="118">
        <v>5000</v>
      </c>
      <c r="G589" s="118">
        <v>5000</v>
      </c>
    </row>
    <row r="590" spans="1:7" x14ac:dyDescent="0.2">
      <c r="A590" s="80" t="s">
        <v>689</v>
      </c>
      <c r="B590" s="24" t="s">
        <v>822</v>
      </c>
      <c r="C590" s="24" t="s">
        <v>215</v>
      </c>
      <c r="D590" s="24"/>
      <c r="E590" s="24"/>
      <c r="F590" s="42">
        <f>F591+F605</f>
        <v>99671.6</v>
      </c>
      <c r="G590" s="42">
        <f>G591+G605</f>
        <v>86791.599999999991</v>
      </c>
    </row>
    <row r="591" spans="1:7" x14ac:dyDescent="0.2">
      <c r="A591" s="80" t="s">
        <v>678</v>
      </c>
      <c r="B591" s="24" t="s">
        <v>822</v>
      </c>
      <c r="C591" s="24" t="s">
        <v>214</v>
      </c>
      <c r="D591" s="24"/>
      <c r="E591" s="24"/>
      <c r="F591" s="42">
        <f>F592</f>
        <v>65007.799999999996</v>
      </c>
      <c r="G591" s="42">
        <f>G592</f>
        <v>60407.799999999996</v>
      </c>
    </row>
    <row r="592" spans="1:7" ht="27" x14ac:dyDescent="0.2">
      <c r="A592" s="86" t="s">
        <v>548</v>
      </c>
      <c r="B592" s="53" t="s">
        <v>822</v>
      </c>
      <c r="C592" s="53" t="s">
        <v>214</v>
      </c>
      <c r="D592" s="53" t="s">
        <v>427</v>
      </c>
      <c r="E592" s="53"/>
      <c r="F592" s="57">
        <f>F593</f>
        <v>65007.799999999996</v>
      </c>
      <c r="G592" s="57">
        <f>G593</f>
        <v>60407.799999999996</v>
      </c>
    </row>
    <row r="593" spans="1:7" ht="24" x14ac:dyDescent="0.2">
      <c r="A593" s="80" t="s">
        <v>651</v>
      </c>
      <c r="B593" s="24" t="s">
        <v>822</v>
      </c>
      <c r="C593" s="24" t="s">
        <v>214</v>
      </c>
      <c r="D593" s="24" t="s">
        <v>428</v>
      </c>
      <c r="E593" s="24"/>
      <c r="F593" s="42">
        <f>F594+F598+F601</f>
        <v>65007.799999999996</v>
      </c>
      <c r="G593" s="42">
        <f>G594+G598+G601</f>
        <v>60407.799999999996</v>
      </c>
    </row>
    <row r="594" spans="1:7" ht="24" x14ac:dyDescent="0.2">
      <c r="A594" s="80" t="s">
        <v>466</v>
      </c>
      <c r="B594" s="24" t="s">
        <v>822</v>
      </c>
      <c r="C594" s="24" t="s">
        <v>214</v>
      </c>
      <c r="D594" s="24" t="s">
        <v>436</v>
      </c>
      <c r="E594" s="24"/>
      <c r="F594" s="42">
        <f t="shared" ref="F594:G596" si="16">F595</f>
        <v>11087.1</v>
      </c>
      <c r="G594" s="42">
        <f t="shared" si="16"/>
        <v>11087.1</v>
      </c>
    </row>
    <row r="595" spans="1:7" x14ac:dyDescent="0.2">
      <c r="A595" s="85" t="s">
        <v>730</v>
      </c>
      <c r="B595" s="33" t="s">
        <v>822</v>
      </c>
      <c r="C595" s="33" t="s">
        <v>214</v>
      </c>
      <c r="D595" s="33" t="s">
        <v>94</v>
      </c>
      <c r="E595" s="33"/>
      <c r="F595" s="101">
        <f t="shared" si="16"/>
        <v>11087.1</v>
      </c>
      <c r="G595" s="101">
        <f t="shared" si="16"/>
        <v>11087.1</v>
      </c>
    </row>
    <row r="596" spans="1:7" ht="24" x14ac:dyDescent="0.2">
      <c r="A596" s="84" t="s">
        <v>246</v>
      </c>
      <c r="B596" s="30" t="s">
        <v>822</v>
      </c>
      <c r="C596" s="30" t="s">
        <v>214</v>
      </c>
      <c r="D596" s="30" t="s">
        <v>94</v>
      </c>
      <c r="E596" s="30" t="s">
        <v>702</v>
      </c>
      <c r="F596" s="41">
        <f t="shared" si="16"/>
        <v>11087.1</v>
      </c>
      <c r="G596" s="41">
        <f t="shared" si="16"/>
        <v>11087.1</v>
      </c>
    </row>
    <row r="597" spans="1:7" x14ac:dyDescent="0.2">
      <c r="A597" s="84" t="s">
        <v>247</v>
      </c>
      <c r="B597" s="30" t="s">
        <v>822</v>
      </c>
      <c r="C597" s="30" t="s">
        <v>214</v>
      </c>
      <c r="D597" s="30" t="s">
        <v>94</v>
      </c>
      <c r="E597" s="30" t="s">
        <v>724</v>
      </c>
      <c r="F597" s="41">
        <v>11087.1</v>
      </c>
      <c r="G597" s="41">
        <v>11087.1</v>
      </c>
    </row>
    <row r="598" spans="1:7" ht="24" x14ac:dyDescent="0.2">
      <c r="A598" s="83" t="s">
        <v>140</v>
      </c>
      <c r="B598" s="25" t="s">
        <v>822</v>
      </c>
      <c r="C598" s="25" t="s">
        <v>214</v>
      </c>
      <c r="D598" s="25" t="s">
        <v>437</v>
      </c>
      <c r="E598" s="25"/>
      <c r="F598" s="122">
        <f>F599</f>
        <v>20000</v>
      </c>
      <c r="G598" s="122">
        <f>G599</f>
        <v>15400</v>
      </c>
    </row>
    <row r="599" spans="1:7" ht="24" x14ac:dyDescent="0.2">
      <c r="A599" s="84" t="s">
        <v>246</v>
      </c>
      <c r="B599" s="30" t="s">
        <v>822</v>
      </c>
      <c r="C599" s="30" t="s">
        <v>214</v>
      </c>
      <c r="D599" s="30" t="s">
        <v>437</v>
      </c>
      <c r="E599" s="30" t="s">
        <v>702</v>
      </c>
      <c r="F599" s="118">
        <f>F600</f>
        <v>20000</v>
      </c>
      <c r="G599" s="118">
        <f>G600</f>
        <v>15400</v>
      </c>
    </row>
    <row r="600" spans="1:7" x14ac:dyDescent="0.2">
      <c r="A600" s="84" t="s">
        <v>247</v>
      </c>
      <c r="B600" s="30" t="s">
        <v>822</v>
      </c>
      <c r="C600" s="30" t="s">
        <v>214</v>
      </c>
      <c r="D600" s="30" t="s">
        <v>437</v>
      </c>
      <c r="E600" s="30" t="s">
        <v>724</v>
      </c>
      <c r="F600" s="118">
        <v>20000</v>
      </c>
      <c r="G600" s="118">
        <v>15400</v>
      </c>
    </row>
    <row r="601" spans="1:7" ht="24" x14ac:dyDescent="0.2">
      <c r="A601" s="80" t="s">
        <v>653</v>
      </c>
      <c r="B601" s="24" t="s">
        <v>822</v>
      </c>
      <c r="C601" s="24" t="s">
        <v>214</v>
      </c>
      <c r="D601" s="24" t="s">
        <v>438</v>
      </c>
      <c r="E601" s="24"/>
      <c r="F601" s="42">
        <f t="shared" ref="F601:G603" si="17">F602</f>
        <v>33920.699999999997</v>
      </c>
      <c r="G601" s="42">
        <f t="shared" si="17"/>
        <v>33920.699999999997</v>
      </c>
    </row>
    <row r="602" spans="1:7" ht="24" x14ac:dyDescent="0.2">
      <c r="A602" s="85" t="s">
        <v>95</v>
      </c>
      <c r="B602" s="33" t="s">
        <v>822</v>
      </c>
      <c r="C602" s="33" t="s">
        <v>214</v>
      </c>
      <c r="D602" s="33" t="s">
        <v>96</v>
      </c>
      <c r="E602" s="25"/>
      <c r="F602" s="101">
        <f t="shared" si="17"/>
        <v>33920.699999999997</v>
      </c>
      <c r="G602" s="101">
        <f t="shared" si="17"/>
        <v>33920.699999999997</v>
      </c>
    </row>
    <row r="603" spans="1:7" ht="24" x14ac:dyDescent="0.2">
      <c r="A603" s="84" t="s">
        <v>246</v>
      </c>
      <c r="B603" s="30" t="s">
        <v>822</v>
      </c>
      <c r="C603" s="30" t="s">
        <v>214</v>
      </c>
      <c r="D603" s="30" t="s">
        <v>96</v>
      </c>
      <c r="E603" s="30" t="s">
        <v>702</v>
      </c>
      <c r="F603" s="41">
        <f t="shared" si="17"/>
        <v>33920.699999999997</v>
      </c>
      <c r="G603" s="41">
        <f t="shared" si="17"/>
        <v>33920.699999999997</v>
      </c>
    </row>
    <row r="604" spans="1:7" x14ac:dyDescent="0.2">
      <c r="A604" s="84" t="s">
        <v>247</v>
      </c>
      <c r="B604" s="30" t="s">
        <v>822</v>
      </c>
      <c r="C604" s="30" t="s">
        <v>214</v>
      </c>
      <c r="D604" s="30" t="s">
        <v>96</v>
      </c>
      <c r="E604" s="30" t="s">
        <v>724</v>
      </c>
      <c r="F604" s="41">
        <v>33920.699999999997</v>
      </c>
      <c r="G604" s="41">
        <v>33920.699999999997</v>
      </c>
    </row>
    <row r="605" spans="1:7" x14ac:dyDescent="0.2">
      <c r="A605" s="80" t="s">
        <v>799</v>
      </c>
      <c r="B605" s="24" t="s">
        <v>822</v>
      </c>
      <c r="C605" s="24" t="s">
        <v>216</v>
      </c>
      <c r="D605" s="24"/>
      <c r="E605" s="24"/>
      <c r="F605" s="42">
        <f>F606+F640</f>
        <v>34663.800000000003</v>
      </c>
      <c r="G605" s="42">
        <f>G606+G640</f>
        <v>26383.8</v>
      </c>
    </row>
    <row r="606" spans="1:7" ht="27" x14ac:dyDescent="0.2">
      <c r="A606" s="86" t="s">
        <v>594</v>
      </c>
      <c r="B606" s="53" t="s">
        <v>822</v>
      </c>
      <c r="C606" s="53" t="s">
        <v>216</v>
      </c>
      <c r="D606" s="53" t="s">
        <v>427</v>
      </c>
      <c r="E606" s="53"/>
      <c r="F606" s="57">
        <f>F607+F629</f>
        <v>24163.8</v>
      </c>
      <c r="G606" s="57">
        <f>G607+G629</f>
        <v>24163.8</v>
      </c>
    </row>
    <row r="607" spans="1:7" ht="13.5" x14ac:dyDescent="0.2">
      <c r="A607" s="86" t="s">
        <v>213</v>
      </c>
      <c r="B607" s="53" t="s">
        <v>822</v>
      </c>
      <c r="C607" s="53" t="s">
        <v>216</v>
      </c>
      <c r="D607" s="53" t="s">
        <v>443</v>
      </c>
      <c r="E607" s="53"/>
      <c r="F607" s="57">
        <f>F608+F611+F614+F617+F620+F623+F626</f>
        <v>20000</v>
      </c>
      <c r="G607" s="57">
        <f>G608+G611+G614+G617+G620+G623+G626</f>
        <v>20000</v>
      </c>
    </row>
    <row r="608" spans="1:7" x14ac:dyDescent="0.2">
      <c r="A608" s="75" t="s">
        <v>251</v>
      </c>
      <c r="B608" s="24" t="s">
        <v>822</v>
      </c>
      <c r="C608" s="24" t="s">
        <v>216</v>
      </c>
      <c r="D608" s="24" t="s">
        <v>98</v>
      </c>
      <c r="E608" s="25"/>
      <c r="F608" s="42">
        <f>F609</f>
        <v>17950</v>
      </c>
      <c r="G608" s="42">
        <f>G609</f>
        <v>17950</v>
      </c>
    </row>
    <row r="609" spans="1:7" x14ac:dyDescent="0.2">
      <c r="A609" s="84" t="s">
        <v>473</v>
      </c>
      <c r="B609" s="30" t="s">
        <v>822</v>
      </c>
      <c r="C609" s="30" t="s">
        <v>216</v>
      </c>
      <c r="D609" s="30" t="s">
        <v>98</v>
      </c>
      <c r="E609" s="30" t="s">
        <v>226</v>
      </c>
      <c r="F609" s="41">
        <f>F610</f>
        <v>17950</v>
      </c>
      <c r="G609" s="41">
        <f>G610</f>
        <v>17950</v>
      </c>
    </row>
    <row r="610" spans="1:7" x14ac:dyDescent="0.2">
      <c r="A610" s="84" t="s">
        <v>227</v>
      </c>
      <c r="B610" s="30" t="s">
        <v>822</v>
      </c>
      <c r="C610" s="30" t="s">
        <v>216</v>
      </c>
      <c r="D610" s="30" t="s">
        <v>98</v>
      </c>
      <c r="E610" s="30" t="s">
        <v>228</v>
      </c>
      <c r="F610" s="41">
        <v>17950</v>
      </c>
      <c r="G610" s="41">
        <v>17950</v>
      </c>
    </row>
    <row r="611" spans="1:7" ht="13.5" x14ac:dyDescent="0.2">
      <c r="A611" s="129" t="s">
        <v>563</v>
      </c>
      <c r="B611" s="24" t="s">
        <v>822</v>
      </c>
      <c r="C611" s="24" t="s">
        <v>216</v>
      </c>
      <c r="D611" s="24" t="s">
        <v>97</v>
      </c>
      <c r="E611" s="53"/>
      <c r="F611" s="42">
        <f>F612</f>
        <v>500</v>
      </c>
      <c r="G611" s="42">
        <f>G612</f>
        <v>500</v>
      </c>
    </row>
    <row r="612" spans="1:7" x14ac:dyDescent="0.2">
      <c r="A612" s="84" t="s">
        <v>473</v>
      </c>
      <c r="B612" s="30" t="s">
        <v>822</v>
      </c>
      <c r="C612" s="30" t="s">
        <v>216</v>
      </c>
      <c r="D612" s="30" t="s">
        <v>97</v>
      </c>
      <c r="E612" s="30" t="s">
        <v>226</v>
      </c>
      <c r="F612" s="41">
        <f>F613</f>
        <v>500</v>
      </c>
      <c r="G612" s="41">
        <f>G613</f>
        <v>500</v>
      </c>
    </row>
    <row r="613" spans="1:7" x14ac:dyDescent="0.2">
      <c r="A613" s="84" t="s">
        <v>227</v>
      </c>
      <c r="B613" s="30" t="s">
        <v>822</v>
      </c>
      <c r="C613" s="30" t="s">
        <v>216</v>
      </c>
      <c r="D613" s="30" t="s">
        <v>97</v>
      </c>
      <c r="E613" s="30" t="s">
        <v>228</v>
      </c>
      <c r="F613" s="41">
        <v>500</v>
      </c>
      <c r="G613" s="41">
        <v>500</v>
      </c>
    </row>
    <row r="614" spans="1:7" ht="36" x14ac:dyDescent="0.2">
      <c r="A614" s="80" t="s">
        <v>600</v>
      </c>
      <c r="B614" s="24" t="s">
        <v>822</v>
      </c>
      <c r="C614" s="24" t="s">
        <v>216</v>
      </c>
      <c r="D614" s="24" t="s">
        <v>99</v>
      </c>
      <c r="E614" s="24"/>
      <c r="F614" s="42">
        <f>F615</f>
        <v>200</v>
      </c>
      <c r="G614" s="42">
        <f>G615</f>
        <v>200</v>
      </c>
    </row>
    <row r="615" spans="1:7" x14ac:dyDescent="0.2">
      <c r="A615" s="84" t="s">
        <v>473</v>
      </c>
      <c r="B615" s="30" t="s">
        <v>822</v>
      </c>
      <c r="C615" s="30" t="s">
        <v>216</v>
      </c>
      <c r="D615" s="30" t="s">
        <v>99</v>
      </c>
      <c r="E615" s="30" t="s">
        <v>226</v>
      </c>
      <c r="F615" s="41">
        <f>F616</f>
        <v>200</v>
      </c>
      <c r="G615" s="41">
        <f>G616</f>
        <v>200</v>
      </c>
    </row>
    <row r="616" spans="1:7" x14ac:dyDescent="0.2">
      <c r="A616" s="84" t="s">
        <v>227</v>
      </c>
      <c r="B616" s="30" t="s">
        <v>822</v>
      </c>
      <c r="C616" s="30" t="s">
        <v>216</v>
      </c>
      <c r="D616" s="30" t="s">
        <v>99</v>
      </c>
      <c r="E616" s="30" t="s">
        <v>228</v>
      </c>
      <c r="F616" s="41">
        <v>200</v>
      </c>
      <c r="G616" s="41">
        <v>200</v>
      </c>
    </row>
    <row r="617" spans="1:7" ht="24" x14ac:dyDescent="0.2">
      <c r="A617" s="80" t="s">
        <v>601</v>
      </c>
      <c r="B617" s="24" t="s">
        <v>822</v>
      </c>
      <c r="C617" s="24" t="s">
        <v>216</v>
      </c>
      <c r="D617" s="24" t="s">
        <v>100</v>
      </c>
      <c r="E617" s="24"/>
      <c r="F617" s="42">
        <f>F618</f>
        <v>50</v>
      </c>
      <c r="G617" s="42">
        <f>G618</f>
        <v>50</v>
      </c>
    </row>
    <row r="618" spans="1:7" x14ac:dyDescent="0.2">
      <c r="A618" s="84" t="s">
        <v>473</v>
      </c>
      <c r="B618" s="30" t="s">
        <v>822</v>
      </c>
      <c r="C618" s="30" t="s">
        <v>216</v>
      </c>
      <c r="D618" s="30" t="s">
        <v>100</v>
      </c>
      <c r="E618" s="30" t="s">
        <v>226</v>
      </c>
      <c r="F618" s="41">
        <f>F619</f>
        <v>50</v>
      </c>
      <c r="G618" s="41">
        <f>G619</f>
        <v>50</v>
      </c>
    </row>
    <row r="619" spans="1:7" x14ac:dyDescent="0.2">
      <c r="A619" s="84" t="s">
        <v>227</v>
      </c>
      <c r="B619" s="30" t="s">
        <v>822</v>
      </c>
      <c r="C619" s="30" t="s">
        <v>216</v>
      </c>
      <c r="D619" s="30" t="s">
        <v>100</v>
      </c>
      <c r="E619" s="30" t="s">
        <v>228</v>
      </c>
      <c r="F619" s="41">
        <v>50</v>
      </c>
      <c r="G619" s="41">
        <v>50</v>
      </c>
    </row>
    <row r="620" spans="1:7" ht="24" x14ac:dyDescent="0.2">
      <c r="A620" s="80" t="s">
        <v>759</v>
      </c>
      <c r="B620" s="24" t="s">
        <v>822</v>
      </c>
      <c r="C620" s="24" t="s">
        <v>216</v>
      </c>
      <c r="D620" s="24" t="s">
        <v>101</v>
      </c>
      <c r="E620" s="24"/>
      <c r="F620" s="42">
        <f>F621</f>
        <v>500</v>
      </c>
      <c r="G620" s="42">
        <f>G621</f>
        <v>500</v>
      </c>
    </row>
    <row r="621" spans="1:7" x14ac:dyDescent="0.2">
      <c r="A621" s="84" t="s">
        <v>473</v>
      </c>
      <c r="B621" s="30" t="s">
        <v>822</v>
      </c>
      <c r="C621" s="30" t="s">
        <v>216</v>
      </c>
      <c r="D621" s="30" t="s">
        <v>101</v>
      </c>
      <c r="E621" s="30" t="s">
        <v>226</v>
      </c>
      <c r="F621" s="41">
        <f>F622</f>
        <v>500</v>
      </c>
      <c r="G621" s="41">
        <f>G622</f>
        <v>500</v>
      </c>
    </row>
    <row r="622" spans="1:7" x14ac:dyDescent="0.2">
      <c r="A622" s="84" t="s">
        <v>227</v>
      </c>
      <c r="B622" s="30" t="s">
        <v>822</v>
      </c>
      <c r="C622" s="30" t="s">
        <v>216</v>
      </c>
      <c r="D622" s="30" t="s">
        <v>101</v>
      </c>
      <c r="E622" s="30" t="s">
        <v>228</v>
      </c>
      <c r="F622" s="41">
        <v>500</v>
      </c>
      <c r="G622" s="41">
        <v>500</v>
      </c>
    </row>
    <row r="623" spans="1:7" ht="24" x14ac:dyDescent="0.2">
      <c r="A623" s="80" t="s">
        <v>539</v>
      </c>
      <c r="B623" s="24" t="s">
        <v>822</v>
      </c>
      <c r="C623" s="24" t="s">
        <v>216</v>
      </c>
      <c r="D623" s="24" t="s">
        <v>102</v>
      </c>
      <c r="E623" s="24"/>
      <c r="F623" s="117">
        <f>F624</f>
        <v>500</v>
      </c>
      <c r="G623" s="117">
        <f>G624</f>
        <v>500</v>
      </c>
    </row>
    <row r="624" spans="1:7" x14ac:dyDescent="0.2">
      <c r="A624" s="84" t="s">
        <v>473</v>
      </c>
      <c r="B624" s="30" t="s">
        <v>822</v>
      </c>
      <c r="C624" s="30" t="s">
        <v>216</v>
      </c>
      <c r="D624" s="30" t="s">
        <v>102</v>
      </c>
      <c r="E624" s="30" t="s">
        <v>226</v>
      </c>
      <c r="F624" s="118">
        <f>F625</f>
        <v>500</v>
      </c>
      <c r="G624" s="118">
        <f>G625</f>
        <v>500</v>
      </c>
    </row>
    <row r="625" spans="1:7" x14ac:dyDescent="0.2">
      <c r="A625" s="84" t="s">
        <v>227</v>
      </c>
      <c r="B625" s="30" t="s">
        <v>822</v>
      </c>
      <c r="C625" s="30" t="s">
        <v>216</v>
      </c>
      <c r="D625" s="30" t="s">
        <v>102</v>
      </c>
      <c r="E625" s="30" t="s">
        <v>228</v>
      </c>
      <c r="F625" s="118">
        <v>500</v>
      </c>
      <c r="G625" s="118">
        <v>500</v>
      </c>
    </row>
    <row r="626" spans="1:7" x14ac:dyDescent="0.2">
      <c r="A626" s="80" t="s">
        <v>538</v>
      </c>
      <c r="B626" s="24" t="s">
        <v>822</v>
      </c>
      <c r="C626" s="24" t="s">
        <v>216</v>
      </c>
      <c r="D626" s="24" t="s">
        <v>103</v>
      </c>
      <c r="E626" s="24"/>
      <c r="F626" s="42">
        <f>F627</f>
        <v>300</v>
      </c>
      <c r="G626" s="42">
        <f>G627</f>
        <v>300</v>
      </c>
    </row>
    <row r="627" spans="1:7" x14ac:dyDescent="0.2">
      <c r="A627" s="84" t="s">
        <v>473</v>
      </c>
      <c r="B627" s="30" t="s">
        <v>822</v>
      </c>
      <c r="C627" s="30" t="s">
        <v>216</v>
      </c>
      <c r="D627" s="30" t="s">
        <v>103</v>
      </c>
      <c r="E627" s="30" t="s">
        <v>226</v>
      </c>
      <c r="F627" s="41">
        <f>F628</f>
        <v>300</v>
      </c>
      <c r="G627" s="41">
        <f>G628</f>
        <v>300</v>
      </c>
    </row>
    <row r="628" spans="1:7" x14ac:dyDescent="0.2">
      <c r="A628" s="84" t="s">
        <v>227</v>
      </c>
      <c r="B628" s="30" t="s">
        <v>822</v>
      </c>
      <c r="C628" s="30" t="s">
        <v>216</v>
      </c>
      <c r="D628" s="30" t="s">
        <v>103</v>
      </c>
      <c r="E628" s="30" t="s">
        <v>228</v>
      </c>
      <c r="F628" s="41">
        <v>300</v>
      </c>
      <c r="G628" s="41">
        <v>300</v>
      </c>
    </row>
    <row r="629" spans="1:7" ht="27" x14ac:dyDescent="0.2">
      <c r="A629" s="86" t="s">
        <v>440</v>
      </c>
      <c r="B629" s="53" t="s">
        <v>822</v>
      </c>
      <c r="C629" s="53" t="s">
        <v>216</v>
      </c>
      <c r="D629" s="53" t="s">
        <v>442</v>
      </c>
      <c r="E629" s="53"/>
      <c r="F629" s="57">
        <f>F630</f>
        <v>4163.8</v>
      </c>
      <c r="G629" s="57">
        <f>G630</f>
        <v>4163.8</v>
      </c>
    </row>
    <row r="630" spans="1:7" ht="24" x14ac:dyDescent="0.2">
      <c r="A630" s="80" t="s">
        <v>441</v>
      </c>
      <c r="B630" s="24" t="s">
        <v>822</v>
      </c>
      <c r="C630" s="24" t="s">
        <v>216</v>
      </c>
      <c r="D630" s="24" t="s">
        <v>442</v>
      </c>
      <c r="E630" s="24"/>
      <c r="F630" s="42">
        <f>F631</f>
        <v>4163.8</v>
      </c>
      <c r="G630" s="42">
        <f>G631</f>
        <v>4163.8</v>
      </c>
    </row>
    <row r="631" spans="1:7" ht="24" x14ac:dyDescent="0.2">
      <c r="A631" s="83" t="s">
        <v>704</v>
      </c>
      <c r="B631" s="25" t="s">
        <v>822</v>
      </c>
      <c r="C631" s="25" t="s">
        <v>216</v>
      </c>
      <c r="D631" s="33" t="s">
        <v>442</v>
      </c>
      <c r="E631" s="25"/>
      <c r="F631" s="45">
        <f>F632+F635</f>
        <v>4163.8</v>
      </c>
      <c r="G631" s="45">
        <f>G632+G635</f>
        <v>4163.8</v>
      </c>
    </row>
    <row r="632" spans="1:7" x14ac:dyDescent="0.2">
      <c r="A632" s="82" t="s">
        <v>685</v>
      </c>
      <c r="B632" s="24" t="s">
        <v>822</v>
      </c>
      <c r="C632" s="24" t="s">
        <v>216</v>
      </c>
      <c r="D632" s="24" t="s">
        <v>210</v>
      </c>
      <c r="E632" s="24"/>
      <c r="F632" s="42">
        <f>F633</f>
        <v>3775</v>
      </c>
      <c r="G632" s="42">
        <f>G633</f>
        <v>3775</v>
      </c>
    </row>
    <row r="633" spans="1:7" ht="36" x14ac:dyDescent="0.2">
      <c r="A633" s="84" t="s">
        <v>217</v>
      </c>
      <c r="B633" s="30" t="s">
        <v>822</v>
      </c>
      <c r="C633" s="30" t="s">
        <v>216</v>
      </c>
      <c r="D633" s="30" t="s">
        <v>210</v>
      </c>
      <c r="E633" s="30" t="s">
        <v>218</v>
      </c>
      <c r="F633" s="41">
        <f>F634</f>
        <v>3775</v>
      </c>
      <c r="G633" s="41">
        <f>G634</f>
        <v>3775</v>
      </c>
    </row>
    <row r="634" spans="1:7" x14ac:dyDescent="0.2">
      <c r="A634" s="84" t="s">
        <v>219</v>
      </c>
      <c r="B634" s="30" t="s">
        <v>822</v>
      </c>
      <c r="C634" s="30" t="s">
        <v>216</v>
      </c>
      <c r="D634" s="30" t="s">
        <v>210</v>
      </c>
      <c r="E634" s="30" t="s">
        <v>224</v>
      </c>
      <c r="F634" s="41">
        <v>3775</v>
      </c>
      <c r="G634" s="41">
        <v>3775</v>
      </c>
    </row>
    <row r="635" spans="1:7" x14ac:dyDescent="0.2">
      <c r="A635" s="80" t="s">
        <v>225</v>
      </c>
      <c r="B635" s="24" t="s">
        <v>822</v>
      </c>
      <c r="C635" s="24" t="s">
        <v>216</v>
      </c>
      <c r="D635" s="24" t="s">
        <v>211</v>
      </c>
      <c r="E635" s="24"/>
      <c r="F635" s="42">
        <f>F636+F638</f>
        <v>388.8</v>
      </c>
      <c r="G635" s="42">
        <f>G636+G638</f>
        <v>388.8</v>
      </c>
    </row>
    <row r="636" spans="1:7" x14ac:dyDescent="0.2">
      <c r="A636" s="84" t="s">
        <v>473</v>
      </c>
      <c r="B636" s="30" t="s">
        <v>822</v>
      </c>
      <c r="C636" s="30" t="s">
        <v>216</v>
      </c>
      <c r="D636" s="30" t="s">
        <v>211</v>
      </c>
      <c r="E636" s="30" t="s">
        <v>226</v>
      </c>
      <c r="F636" s="41">
        <f>F637</f>
        <v>248.8</v>
      </c>
      <c r="G636" s="41">
        <f>G637</f>
        <v>248.8</v>
      </c>
    </row>
    <row r="637" spans="1:7" x14ac:dyDescent="0.2">
      <c r="A637" s="84" t="s">
        <v>227</v>
      </c>
      <c r="B637" s="30" t="s">
        <v>822</v>
      </c>
      <c r="C637" s="30" t="s">
        <v>216</v>
      </c>
      <c r="D637" s="30" t="s">
        <v>211</v>
      </c>
      <c r="E637" s="30" t="s">
        <v>228</v>
      </c>
      <c r="F637" s="41">
        <v>248.8</v>
      </c>
      <c r="G637" s="41">
        <v>248.8</v>
      </c>
    </row>
    <row r="638" spans="1:7" x14ac:dyDescent="0.2">
      <c r="A638" s="84" t="s">
        <v>229</v>
      </c>
      <c r="B638" s="30" t="s">
        <v>822</v>
      </c>
      <c r="C638" s="30" t="s">
        <v>216</v>
      </c>
      <c r="D638" s="30" t="s">
        <v>211</v>
      </c>
      <c r="E638" s="30" t="s">
        <v>230</v>
      </c>
      <c r="F638" s="41">
        <f>F639</f>
        <v>140</v>
      </c>
      <c r="G638" s="41">
        <f>G639</f>
        <v>140</v>
      </c>
    </row>
    <row r="639" spans="1:7" x14ac:dyDescent="0.2">
      <c r="A639" s="84" t="s">
        <v>106</v>
      </c>
      <c r="B639" s="30" t="s">
        <v>822</v>
      </c>
      <c r="C639" s="30" t="s">
        <v>216</v>
      </c>
      <c r="D639" s="30" t="s">
        <v>211</v>
      </c>
      <c r="E639" s="30" t="s">
        <v>231</v>
      </c>
      <c r="F639" s="41">
        <v>140</v>
      </c>
      <c r="G639" s="41">
        <v>140</v>
      </c>
    </row>
    <row r="640" spans="1:7" s="32" customFormat="1" ht="27" x14ac:dyDescent="0.2">
      <c r="A640" s="86" t="s">
        <v>549</v>
      </c>
      <c r="B640" s="53" t="s">
        <v>822</v>
      </c>
      <c r="C640" s="53" t="s">
        <v>216</v>
      </c>
      <c r="D640" s="53" t="s">
        <v>444</v>
      </c>
      <c r="E640" s="25"/>
      <c r="F640" s="121">
        <f>F641+F646+F649</f>
        <v>10500</v>
      </c>
      <c r="G640" s="121">
        <f>G641+G646+G649</f>
        <v>2220</v>
      </c>
    </row>
    <row r="641" spans="1:7" s="32" customFormat="1" x14ac:dyDescent="0.2">
      <c r="A641" s="75" t="s">
        <v>286</v>
      </c>
      <c r="B641" s="44" t="s">
        <v>822</v>
      </c>
      <c r="C641" s="44" t="s">
        <v>216</v>
      </c>
      <c r="D641" s="24" t="s">
        <v>846</v>
      </c>
      <c r="E641" s="30"/>
      <c r="F641" s="117">
        <f>F642+F644</f>
        <v>500</v>
      </c>
      <c r="G641" s="117">
        <f>G642+G644</f>
        <v>500</v>
      </c>
    </row>
    <row r="642" spans="1:7" s="32" customFormat="1" x14ac:dyDescent="0.2">
      <c r="A642" s="84" t="s">
        <v>473</v>
      </c>
      <c r="B642" s="52" t="s">
        <v>822</v>
      </c>
      <c r="C642" s="52" t="s">
        <v>216</v>
      </c>
      <c r="D642" s="30" t="s">
        <v>846</v>
      </c>
      <c r="E642" s="30" t="s">
        <v>226</v>
      </c>
      <c r="F642" s="118">
        <f>F643</f>
        <v>200</v>
      </c>
      <c r="G642" s="118">
        <f>G643</f>
        <v>200</v>
      </c>
    </row>
    <row r="643" spans="1:7" s="32" customFormat="1" x14ac:dyDescent="0.2">
      <c r="A643" s="84" t="s">
        <v>227</v>
      </c>
      <c r="B643" s="30" t="s">
        <v>822</v>
      </c>
      <c r="C643" s="30" t="s">
        <v>216</v>
      </c>
      <c r="D643" s="30" t="s">
        <v>846</v>
      </c>
      <c r="E643" s="30" t="s">
        <v>228</v>
      </c>
      <c r="F643" s="118">
        <v>200</v>
      </c>
      <c r="G643" s="118">
        <v>200</v>
      </c>
    </row>
    <row r="644" spans="1:7" s="32" customFormat="1" x14ac:dyDescent="0.2">
      <c r="A644" s="84" t="s">
        <v>394</v>
      </c>
      <c r="B644" s="30" t="s">
        <v>822</v>
      </c>
      <c r="C644" s="30" t="s">
        <v>216</v>
      </c>
      <c r="D644" s="30" t="s">
        <v>846</v>
      </c>
      <c r="E644" s="30" t="s">
        <v>733</v>
      </c>
      <c r="F644" s="118">
        <f>F645</f>
        <v>300</v>
      </c>
      <c r="G644" s="118">
        <f>G645</f>
        <v>300</v>
      </c>
    </row>
    <row r="645" spans="1:7" s="32" customFormat="1" x14ac:dyDescent="0.2">
      <c r="A645" s="84" t="s">
        <v>734</v>
      </c>
      <c r="B645" s="30" t="s">
        <v>822</v>
      </c>
      <c r="C645" s="30" t="s">
        <v>216</v>
      </c>
      <c r="D645" s="30" t="s">
        <v>846</v>
      </c>
      <c r="E645" s="30" t="s">
        <v>735</v>
      </c>
      <c r="F645" s="118">
        <v>300</v>
      </c>
      <c r="G645" s="118">
        <v>300</v>
      </c>
    </row>
    <row r="646" spans="1:7" s="32" customFormat="1" x14ac:dyDescent="0.2">
      <c r="A646" s="80" t="s">
        <v>583</v>
      </c>
      <c r="B646" s="44" t="s">
        <v>822</v>
      </c>
      <c r="C646" s="44" t="s">
        <v>216</v>
      </c>
      <c r="D646" s="24" t="s">
        <v>584</v>
      </c>
      <c r="E646" s="24"/>
      <c r="F646" s="117">
        <f>F647</f>
        <v>0</v>
      </c>
      <c r="G646" s="117">
        <f>G647</f>
        <v>1720</v>
      </c>
    </row>
    <row r="647" spans="1:7" s="32" customFormat="1" x14ac:dyDescent="0.2">
      <c r="A647" s="84" t="s">
        <v>394</v>
      </c>
      <c r="B647" s="52" t="s">
        <v>822</v>
      </c>
      <c r="C647" s="52" t="s">
        <v>216</v>
      </c>
      <c r="D647" s="30" t="s">
        <v>584</v>
      </c>
      <c r="E647" s="30" t="s">
        <v>733</v>
      </c>
      <c r="F647" s="118">
        <f>F648</f>
        <v>0</v>
      </c>
      <c r="G647" s="118">
        <f>G648</f>
        <v>1720</v>
      </c>
    </row>
    <row r="648" spans="1:7" s="32" customFormat="1" x14ac:dyDescent="0.2">
      <c r="A648" s="84" t="s">
        <v>734</v>
      </c>
      <c r="B648" s="30" t="s">
        <v>822</v>
      </c>
      <c r="C648" s="30" t="s">
        <v>216</v>
      </c>
      <c r="D648" s="30" t="s">
        <v>584</v>
      </c>
      <c r="E648" s="30" t="s">
        <v>735</v>
      </c>
      <c r="F648" s="118">
        <v>0</v>
      </c>
      <c r="G648" s="118">
        <v>1720</v>
      </c>
    </row>
    <row r="649" spans="1:7" s="32" customFormat="1" x14ac:dyDescent="0.2">
      <c r="A649" s="80" t="s">
        <v>486</v>
      </c>
      <c r="B649" s="24" t="s">
        <v>822</v>
      </c>
      <c r="C649" s="24" t="s">
        <v>216</v>
      </c>
      <c r="D649" s="24" t="s">
        <v>485</v>
      </c>
      <c r="E649" s="24"/>
      <c r="F649" s="42">
        <f>F650</f>
        <v>10000</v>
      </c>
      <c r="G649" s="117">
        <f>G650</f>
        <v>0</v>
      </c>
    </row>
    <row r="650" spans="1:7" s="32" customFormat="1" x14ac:dyDescent="0.2">
      <c r="A650" s="84" t="s">
        <v>394</v>
      </c>
      <c r="B650" s="30" t="s">
        <v>822</v>
      </c>
      <c r="C650" s="30" t="s">
        <v>216</v>
      </c>
      <c r="D650" s="30" t="s">
        <v>485</v>
      </c>
      <c r="E650" s="30" t="s">
        <v>733</v>
      </c>
      <c r="F650" s="41">
        <f>F651</f>
        <v>10000</v>
      </c>
      <c r="G650" s="118">
        <f>G651</f>
        <v>0</v>
      </c>
    </row>
    <row r="651" spans="1:7" s="32" customFormat="1" x14ac:dyDescent="0.2">
      <c r="A651" s="84" t="s">
        <v>734</v>
      </c>
      <c r="B651" s="30" t="s">
        <v>822</v>
      </c>
      <c r="C651" s="30" t="s">
        <v>216</v>
      </c>
      <c r="D651" s="30" t="s">
        <v>485</v>
      </c>
      <c r="E651" s="30" t="s">
        <v>735</v>
      </c>
      <c r="F651" s="41">
        <v>10000</v>
      </c>
      <c r="G651" s="118">
        <v>0</v>
      </c>
    </row>
    <row r="652" spans="1:7" s="32" customFormat="1" x14ac:dyDescent="0.2">
      <c r="A652" s="80" t="s">
        <v>700</v>
      </c>
      <c r="B652" s="24" t="s">
        <v>107</v>
      </c>
      <c r="C652" s="24" t="s">
        <v>215</v>
      </c>
      <c r="D652" s="24"/>
      <c r="E652" s="24"/>
      <c r="F652" s="42">
        <f>F653+F659+F678</f>
        <v>46448.2</v>
      </c>
      <c r="G652" s="42">
        <f>G653+G659+G678</f>
        <v>45699.1</v>
      </c>
    </row>
    <row r="653" spans="1:7" x14ac:dyDescent="0.2">
      <c r="A653" s="80" t="s">
        <v>681</v>
      </c>
      <c r="B653" s="24" t="s">
        <v>107</v>
      </c>
      <c r="C653" s="24" t="s">
        <v>214</v>
      </c>
      <c r="D653" s="24" t="s">
        <v>382</v>
      </c>
      <c r="E653" s="24"/>
      <c r="F653" s="42">
        <f t="shared" ref="F653:G657" si="18">F654</f>
        <v>15500</v>
      </c>
      <c r="G653" s="42">
        <f t="shared" si="18"/>
        <v>15500</v>
      </c>
    </row>
    <row r="654" spans="1:7" x14ac:dyDescent="0.2">
      <c r="A654" s="83" t="s">
        <v>762</v>
      </c>
      <c r="B654" s="25" t="s">
        <v>107</v>
      </c>
      <c r="C654" s="25" t="s">
        <v>214</v>
      </c>
      <c r="D654" s="25" t="s">
        <v>382</v>
      </c>
      <c r="E654" s="24"/>
      <c r="F654" s="45">
        <f t="shared" si="18"/>
        <v>15500</v>
      </c>
      <c r="G654" s="45">
        <f t="shared" si="18"/>
        <v>15500</v>
      </c>
    </row>
    <row r="655" spans="1:7" x14ac:dyDescent="0.2">
      <c r="A655" s="80" t="s">
        <v>476</v>
      </c>
      <c r="B655" s="24" t="s">
        <v>107</v>
      </c>
      <c r="C655" s="24" t="s">
        <v>214</v>
      </c>
      <c r="D655" s="24" t="s">
        <v>383</v>
      </c>
      <c r="E655" s="24"/>
      <c r="F655" s="42">
        <f t="shared" si="18"/>
        <v>15500</v>
      </c>
      <c r="G655" s="42">
        <f t="shared" si="18"/>
        <v>15500</v>
      </c>
    </row>
    <row r="656" spans="1:7" ht="24" x14ac:dyDescent="0.2">
      <c r="A656" s="80" t="s">
        <v>694</v>
      </c>
      <c r="B656" s="24" t="s">
        <v>107</v>
      </c>
      <c r="C656" s="24" t="s">
        <v>214</v>
      </c>
      <c r="D656" s="24" t="s">
        <v>545</v>
      </c>
      <c r="E656" s="24"/>
      <c r="F656" s="42">
        <f t="shared" si="18"/>
        <v>15500</v>
      </c>
      <c r="G656" s="42">
        <f t="shared" si="18"/>
        <v>15500</v>
      </c>
    </row>
    <row r="657" spans="1:7" x14ac:dyDescent="0.2">
      <c r="A657" s="84" t="s">
        <v>237</v>
      </c>
      <c r="B657" s="30" t="s">
        <v>107</v>
      </c>
      <c r="C657" s="30" t="s">
        <v>214</v>
      </c>
      <c r="D657" s="30" t="s">
        <v>545</v>
      </c>
      <c r="E657" s="30" t="s">
        <v>236</v>
      </c>
      <c r="F657" s="41">
        <f t="shared" si="18"/>
        <v>15500</v>
      </c>
      <c r="G657" s="41">
        <f t="shared" si="18"/>
        <v>15500</v>
      </c>
    </row>
    <row r="658" spans="1:7" x14ac:dyDescent="0.2">
      <c r="A658" s="84" t="s">
        <v>314</v>
      </c>
      <c r="B658" s="30" t="s">
        <v>107</v>
      </c>
      <c r="C658" s="30" t="s">
        <v>214</v>
      </c>
      <c r="D658" s="30" t="s">
        <v>545</v>
      </c>
      <c r="E658" s="30" t="s">
        <v>110</v>
      </c>
      <c r="F658" s="41">
        <v>15500</v>
      </c>
      <c r="G658" s="41">
        <v>15500</v>
      </c>
    </row>
    <row r="659" spans="1:7" x14ac:dyDescent="0.2">
      <c r="A659" s="80" t="s">
        <v>687</v>
      </c>
      <c r="B659" s="24" t="s">
        <v>107</v>
      </c>
      <c r="C659" s="24" t="s">
        <v>817</v>
      </c>
      <c r="D659" s="24"/>
      <c r="E659" s="24"/>
      <c r="F659" s="42">
        <f>F660+F664+F673</f>
        <v>19448.2</v>
      </c>
      <c r="G659" s="42">
        <f>G660+G664+G673</f>
        <v>18999.099999999999</v>
      </c>
    </row>
    <row r="660" spans="1:7" ht="27" x14ac:dyDescent="0.2">
      <c r="A660" s="86" t="s">
        <v>547</v>
      </c>
      <c r="B660" s="53" t="s">
        <v>107</v>
      </c>
      <c r="C660" s="53" t="s">
        <v>817</v>
      </c>
      <c r="D660" s="93" t="s">
        <v>426</v>
      </c>
      <c r="E660" s="53"/>
      <c r="F660" s="57">
        <f t="shared" ref="F660:G662" si="19">F661</f>
        <v>1500</v>
      </c>
      <c r="G660" s="57">
        <f t="shared" si="19"/>
        <v>1500</v>
      </c>
    </row>
    <row r="661" spans="1:7" ht="24" x14ac:dyDescent="0.2">
      <c r="A661" s="75" t="s">
        <v>172</v>
      </c>
      <c r="B661" s="24" t="s">
        <v>107</v>
      </c>
      <c r="C661" s="24" t="s">
        <v>817</v>
      </c>
      <c r="D661" s="43" t="s">
        <v>40</v>
      </c>
      <c r="E661" s="24"/>
      <c r="F661" s="42">
        <f t="shared" si="19"/>
        <v>1500</v>
      </c>
      <c r="G661" s="42">
        <f t="shared" si="19"/>
        <v>1500</v>
      </c>
    </row>
    <row r="662" spans="1:7" s="49" customFormat="1" x14ac:dyDescent="0.2">
      <c r="A662" s="84" t="s">
        <v>237</v>
      </c>
      <c r="B662" s="30" t="s">
        <v>107</v>
      </c>
      <c r="C662" s="30" t="s">
        <v>817</v>
      </c>
      <c r="D662" s="40" t="s">
        <v>40</v>
      </c>
      <c r="E662" s="30" t="s">
        <v>236</v>
      </c>
      <c r="F662" s="41">
        <f t="shared" si="19"/>
        <v>1500</v>
      </c>
      <c r="G662" s="41">
        <f t="shared" si="19"/>
        <v>1500</v>
      </c>
    </row>
    <row r="663" spans="1:7" x14ac:dyDescent="0.2">
      <c r="A663" s="84" t="s">
        <v>314</v>
      </c>
      <c r="B663" s="30" t="s">
        <v>107</v>
      </c>
      <c r="C663" s="30" t="s">
        <v>817</v>
      </c>
      <c r="D663" s="40" t="s">
        <v>40</v>
      </c>
      <c r="E663" s="30" t="s">
        <v>110</v>
      </c>
      <c r="F663" s="41">
        <v>1500</v>
      </c>
      <c r="G663" s="41">
        <v>1500</v>
      </c>
    </row>
    <row r="664" spans="1:7" ht="27" x14ac:dyDescent="0.2">
      <c r="A664" s="86" t="s">
        <v>831</v>
      </c>
      <c r="B664" s="53" t="s">
        <v>107</v>
      </c>
      <c r="C664" s="53" t="s">
        <v>817</v>
      </c>
      <c r="D664" s="53" t="s">
        <v>323</v>
      </c>
      <c r="E664" s="53"/>
      <c r="F664" s="57">
        <f>F665</f>
        <v>14948.2</v>
      </c>
      <c r="G664" s="57">
        <f>G665</f>
        <v>14499.099999999999</v>
      </c>
    </row>
    <row r="665" spans="1:7" x14ac:dyDescent="0.2">
      <c r="A665" s="80" t="s">
        <v>461</v>
      </c>
      <c r="B665" s="24" t="s">
        <v>107</v>
      </c>
      <c r="C665" s="24" t="s">
        <v>817</v>
      </c>
      <c r="D665" s="24" t="s">
        <v>332</v>
      </c>
      <c r="E665" s="24"/>
      <c r="F665" s="42">
        <f>F666+F670</f>
        <v>14948.2</v>
      </c>
      <c r="G665" s="42">
        <f>G666+G670</f>
        <v>14499.099999999999</v>
      </c>
    </row>
    <row r="666" spans="1:7" ht="36" x14ac:dyDescent="0.2">
      <c r="A666" s="83" t="s">
        <v>299</v>
      </c>
      <c r="B666" s="25" t="s">
        <v>107</v>
      </c>
      <c r="C666" s="25" t="s">
        <v>817</v>
      </c>
      <c r="D666" s="25" t="s">
        <v>463</v>
      </c>
      <c r="E666" s="25"/>
      <c r="F666" s="45">
        <f>F667</f>
        <v>14348.2</v>
      </c>
      <c r="G666" s="45">
        <f>G667</f>
        <v>13899.099999999999</v>
      </c>
    </row>
    <row r="667" spans="1:7" ht="24" x14ac:dyDescent="0.2">
      <c r="A667" s="84" t="s">
        <v>246</v>
      </c>
      <c r="B667" s="30" t="s">
        <v>107</v>
      </c>
      <c r="C667" s="30" t="s">
        <v>817</v>
      </c>
      <c r="D667" s="30" t="s">
        <v>463</v>
      </c>
      <c r="E667" s="30" t="s">
        <v>702</v>
      </c>
      <c r="F667" s="41">
        <f>F668+F669</f>
        <v>14348.2</v>
      </c>
      <c r="G667" s="41">
        <f>G668+G669</f>
        <v>13899.099999999999</v>
      </c>
    </row>
    <row r="668" spans="1:7" x14ac:dyDescent="0.2">
      <c r="A668" s="84" t="s">
        <v>247</v>
      </c>
      <c r="B668" s="30" t="s">
        <v>107</v>
      </c>
      <c r="C668" s="30" t="s">
        <v>817</v>
      </c>
      <c r="D668" s="30" t="s">
        <v>463</v>
      </c>
      <c r="E668" s="30" t="s">
        <v>724</v>
      </c>
      <c r="F668" s="41">
        <v>13727.1</v>
      </c>
      <c r="G668" s="41">
        <v>13315.3</v>
      </c>
    </row>
    <row r="669" spans="1:7" x14ac:dyDescent="0.2">
      <c r="A669" s="84" t="s">
        <v>108</v>
      </c>
      <c r="B669" s="30" t="s">
        <v>107</v>
      </c>
      <c r="C669" s="30" t="s">
        <v>817</v>
      </c>
      <c r="D669" s="30" t="s">
        <v>463</v>
      </c>
      <c r="E669" s="30" t="s">
        <v>109</v>
      </c>
      <c r="F669" s="41">
        <v>621.1</v>
      </c>
      <c r="G669" s="41">
        <v>583.79999999999995</v>
      </c>
    </row>
    <row r="670" spans="1:7" ht="24" x14ac:dyDescent="0.2">
      <c r="A670" s="75" t="s">
        <v>341</v>
      </c>
      <c r="B670" s="24" t="s">
        <v>107</v>
      </c>
      <c r="C670" s="24" t="s">
        <v>817</v>
      </c>
      <c r="D670" s="24" t="s">
        <v>842</v>
      </c>
      <c r="E670" s="24"/>
      <c r="F670" s="42">
        <f>F671</f>
        <v>600</v>
      </c>
      <c r="G670" s="42">
        <f>G671</f>
        <v>600</v>
      </c>
    </row>
    <row r="671" spans="1:7" x14ac:dyDescent="0.2">
      <c r="A671" s="84" t="s">
        <v>237</v>
      </c>
      <c r="B671" s="30" t="s">
        <v>107</v>
      </c>
      <c r="C671" s="30" t="s">
        <v>817</v>
      </c>
      <c r="D671" s="30" t="s">
        <v>842</v>
      </c>
      <c r="E671" s="30" t="s">
        <v>236</v>
      </c>
      <c r="F671" s="41">
        <f>F672</f>
        <v>600</v>
      </c>
      <c r="G671" s="41">
        <f>G672</f>
        <v>600</v>
      </c>
    </row>
    <row r="672" spans="1:7" x14ac:dyDescent="0.2">
      <c r="A672" s="84" t="s">
        <v>238</v>
      </c>
      <c r="B672" s="30" t="s">
        <v>107</v>
      </c>
      <c r="C672" s="30" t="s">
        <v>817</v>
      </c>
      <c r="D672" s="30" t="s">
        <v>842</v>
      </c>
      <c r="E672" s="30" t="s">
        <v>239</v>
      </c>
      <c r="F672" s="41">
        <v>600</v>
      </c>
      <c r="G672" s="41">
        <v>600</v>
      </c>
    </row>
    <row r="673" spans="1:7" x14ac:dyDescent="0.2">
      <c r="A673" s="83" t="s">
        <v>762</v>
      </c>
      <c r="B673" s="25" t="s">
        <v>107</v>
      </c>
      <c r="C673" s="25" t="s">
        <v>817</v>
      </c>
      <c r="D673" s="25" t="s">
        <v>382</v>
      </c>
      <c r="E673" s="24"/>
      <c r="F673" s="45">
        <f t="shared" ref="F673:G676" si="20">F674</f>
        <v>3000</v>
      </c>
      <c r="G673" s="45">
        <f t="shared" si="20"/>
        <v>3000</v>
      </c>
    </row>
    <row r="674" spans="1:7" x14ac:dyDescent="0.2">
      <c r="A674" s="80" t="s">
        <v>476</v>
      </c>
      <c r="B674" s="24" t="s">
        <v>107</v>
      </c>
      <c r="C674" s="24" t="s">
        <v>817</v>
      </c>
      <c r="D674" s="24" t="s">
        <v>383</v>
      </c>
      <c r="E674" s="24"/>
      <c r="F674" s="42">
        <f t="shared" si="20"/>
        <v>3000</v>
      </c>
      <c r="G674" s="42">
        <f t="shared" si="20"/>
        <v>3000</v>
      </c>
    </row>
    <row r="675" spans="1:7" x14ac:dyDescent="0.2">
      <c r="A675" s="80" t="s">
        <v>789</v>
      </c>
      <c r="B675" s="24" t="s">
        <v>107</v>
      </c>
      <c r="C675" s="24" t="s">
        <v>817</v>
      </c>
      <c r="D675" s="94" t="s">
        <v>15</v>
      </c>
      <c r="E675" s="24"/>
      <c r="F675" s="42">
        <f t="shared" si="20"/>
        <v>3000</v>
      </c>
      <c r="G675" s="42">
        <f t="shared" si="20"/>
        <v>3000</v>
      </c>
    </row>
    <row r="676" spans="1:7" x14ac:dyDescent="0.2">
      <c r="A676" s="84" t="s">
        <v>237</v>
      </c>
      <c r="B676" s="30" t="s">
        <v>107</v>
      </c>
      <c r="C676" s="30" t="s">
        <v>817</v>
      </c>
      <c r="D676" s="95" t="s">
        <v>15</v>
      </c>
      <c r="E676" s="30" t="s">
        <v>236</v>
      </c>
      <c r="F676" s="41">
        <f t="shared" si="20"/>
        <v>3000</v>
      </c>
      <c r="G676" s="41">
        <f t="shared" si="20"/>
        <v>3000</v>
      </c>
    </row>
    <row r="677" spans="1:7" x14ac:dyDescent="0.2">
      <c r="A677" s="84" t="s">
        <v>238</v>
      </c>
      <c r="B677" s="30" t="s">
        <v>107</v>
      </c>
      <c r="C677" s="30" t="s">
        <v>817</v>
      </c>
      <c r="D677" s="95" t="s">
        <v>15</v>
      </c>
      <c r="E677" s="30" t="s">
        <v>239</v>
      </c>
      <c r="F677" s="41">
        <v>3000</v>
      </c>
      <c r="G677" s="41">
        <v>3000</v>
      </c>
    </row>
    <row r="678" spans="1:7" x14ac:dyDescent="0.2">
      <c r="A678" s="80" t="s">
        <v>688</v>
      </c>
      <c r="B678" s="24" t="s">
        <v>107</v>
      </c>
      <c r="C678" s="24" t="s">
        <v>216</v>
      </c>
      <c r="D678" s="24"/>
      <c r="E678" s="24"/>
      <c r="F678" s="42">
        <f t="shared" ref="F678:G682" si="21">F679</f>
        <v>11500</v>
      </c>
      <c r="G678" s="42">
        <f t="shared" si="21"/>
        <v>11200</v>
      </c>
    </row>
    <row r="679" spans="1:7" ht="27" x14ac:dyDescent="0.2">
      <c r="A679" s="86" t="s">
        <v>831</v>
      </c>
      <c r="B679" s="53" t="s">
        <v>107</v>
      </c>
      <c r="C679" s="53" t="s">
        <v>216</v>
      </c>
      <c r="D679" s="53" t="s">
        <v>323</v>
      </c>
      <c r="E679" s="25"/>
      <c r="F679" s="57">
        <f t="shared" si="21"/>
        <v>11500</v>
      </c>
      <c r="G679" s="57">
        <f t="shared" si="21"/>
        <v>11200</v>
      </c>
    </row>
    <row r="680" spans="1:7" x14ac:dyDescent="0.2">
      <c r="A680" s="80" t="s">
        <v>461</v>
      </c>
      <c r="B680" s="24" t="s">
        <v>107</v>
      </c>
      <c r="C680" s="24" t="s">
        <v>216</v>
      </c>
      <c r="D680" s="24" t="s">
        <v>332</v>
      </c>
      <c r="E680" s="24"/>
      <c r="F680" s="42">
        <f t="shared" si="21"/>
        <v>11500</v>
      </c>
      <c r="G680" s="42">
        <f t="shared" si="21"/>
        <v>11200</v>
      </c>
    </row>
    <row r="681" spans="1:7" ht="48" x14ac:dyDescent="0.2">
      <c r="A681" s="65" t="s">
        <v>104</v>
      </c>
      <c r="B681" s="33" t="s">
        <v>107</v>
      </c>
      <c r="C681" s="33" t="s">
        <v>216</v>
      </c>
      <c r="D681" s="33" t="s">
        <v>462</v>
      </c>
      <c r="E681" s="33"/>
      <c r="F681" s="101">
        <f t="shared" si="21"/>
        <v>11500</v>
      </c>
      <c r="G681" s="101">
        <f t="shared" si="21"/>
        <v>11200</v>
      </c>
    </row>
    <row r="682" spans="1:7" x14ac:dyDescent="0.2">
      <c r="A682" s="84" t="s">
        <v>237</v>
      </c>
      <c r="B682" s="30" t="s">
        <v>107</v>
      </c>
      <c r="C682" s="30" t="s">
        <v>216</v>
      </c>
      <c r="D682" s="30" t="s">
        <v>462</v>
      </c>
      <c r="E682" s="30" t="s">
        <v>236</v>
      </c>
      <c r="F682" s="41">
        <f t="shared" si="21"/>
        <v>11500</v>
      </c>
      <c r="G682" s="41">
        <f t="shared" si="21"/>
        <v>11200</v>
      </c>
    </row>
    <row r="683" spans="1:7" x14ac:dyDescent="0.2">
      <c r="A683" s="84" t="s">
        <v>314</v>
      </c>
      <c r="B683" s="30" t="s">
        <v>107</v>
      </c>
      <c r="C683" s="30" t="s">
        <v>216</v>
      </c>
      <c r="D683" s="30" t="s">
        <v>462</v>
      </c>
      <c r="E683" s="30" t="s">
        <v>110</v>
      </c>
      <c r="F683" s="41">
        <v>11500</v>
      </c>
      <c r="G683" s="41">
        <v>11200</v>
      </c>
    </row>
    <row r="684" spans="1:7" ht="15.75" x14ac:dyDescent="0.2">
      <c r="A684" s="80" t="s">
        <v>691</v>
      </c>
      <c r="B684" s="24" t="s">
        <v>232</v>
      </c>
      <c r="C684" s="24" t="s">
        <v>215</v>
      </c>
      <c r="D684" s="46"/>
      <c r="E684" s="46"/>
      <c r="F684" s="42">
        <f>F685+F691</f>
        <v>7720</v>
      </c>
      <c r="G684" s="42">
        <f>G685+G691</f>
        <v>7720</v>
      </c>
    </row>
    <row r="685" spans="1:7" ht="15.75" x14ac:dyDescent="0.2">
      <c r="A685" s="80" t="s">
        <v>201</v>
      </c>
      <c r="B685" s="24" t="s">
        <v>232</v>
      </c>
      <c r="C685" s="24" t="s">
        <v>214</v>
      </c>
      <c r="D685" s="46"/>
      <c r="E685" s="46"/>
      <c r="F685" s="42">
        <f t="shared" ref="F685:G689" si="22">F686</f>
        <v>4000</v>
      </c>
      <c r="G685" s="42">
        <f t="shared" si="22"/>
        <v>4000</v>
      </c>
    </row>
    <row r="686" spans="1:7" ht="27" x14ac:dyDescent="0.2">
      <c r="A686" s="86" t="s">
        <v>85</v>
      </c>
      <c r="B686" s="53" t="s">
        <v>232</v>
      </c>
      <c r="C686" s="53" t="s">
        <v>214</v>
      </c>
      <c r="D686" s="53" t="s">
        <v>175</v>
      </c>
      <c r="E686" s="53"/>
      <c r="F686" s="57">
        <f t="shared" si="22"/>
        <v>4000</v>
      </c>
      <c r="G686" s="57">
        <f t="shared" si="22"/>
        <v>4000</v>
      </c>
    </row>
    <row r="687" spans="1:7" ht="24" x14ac:dyDescent="0.2">
      <c r="A687" s="80" t="s">
        <v>202</v>
      </c>
      <c r="B687" s="24" t="s">
        <v>232</v>
      </c>
      <c r="C687" s="24" t="s">
        <v>214</v>
      </c>
      <c r="D687" s="24" t="s">
        <v>204</v>
      </c>
      <c r="E687" s="46"/>
      <c r="F687" s="42">
        <f t="shared" si="22"/>
        <v>4000</v>
      </c>
      <c r="G687" s="42">
        <f t="shared" si="22"/>
        <v>4000</v>
      </c>
    </row>
    <row r="688" spans="1:7" ht="24" x14ac:dyDescent="0.2">
      <c r="A688" s="83" t="s">
        <v>562</v>
      </c>
      <c r="B688" s="25" t="s">
        <v>232</v>
      </c>
      <c r="C688" s="25" t="s">
        <v>214</v>
      </c>
      <c r="D688" s="25" t="s">
        <v>89</v>
      </c>
      <c r="E688" s="25"/>
      <c r="F688" s="45">
        <f t="shared" si="22"/>
        <v>4000</v>
      </c>
      <c r="G688" s="45">
        <f t="shared" si="22"/>
        <v>4000</v>
      </c>
    </row>
    <row r="689" spans="1:7" x14ac:dyDescent="0.2">
      <c r="A689" s="84" t="s">
        <v>473</v>
      </c>
      <c r="B689" s="30" t="s">
        <v>232</v>
      </c>
      <c r="C689" s="30" t="s">
        <v>214</v>
      </c>
      <c r="D689" s="30" t="s">
        <v>89</v>
      </c>
      <c r="E689" s="30" t="s">
        <v>226</v>
      </c>
      <c r="F689" s="41">
        <f t="shared" si="22"/>
        <v>4000</v>
      </c>
      <c r="G689" s="41">
        <f t="shared" si="22"/>
        <v>4000</v>
      </c>
    </row>
    <row r="690" spans="1:7" x14ac:dyDescent="0.2">
      <c r="A690" s="84" t="s">
        <v>227</v>
      </c>
      <c r="B690" s="30" t="s">
        <v>232</v>
      </c>
      <c r="C690" s="30" t="s">
        <v>214</v>
      </c>
      <c r="D690" s="30" t="s">
        <v>89</v>
      </c>
      <c r="E690" s="30" t="s">
        <v>228</v>
      </c>
      <c r="F690" s="41">
        <v>4000</v>
      </c>
      <c r="G690" s="41">
        <v>4000</v>
      </c>
    </row>
    <row r="691" spans="1:7" x14ac:dyDescent="0.2">
      <c r="A691" s="80" t="s">
        <v>355</v>
      </c>
      <c r="B691" s="24" t="s">
        <v>232</v>
      </c>
      <c r="C691" s="24" t="s">
        <v>731</v>
      </c>
      <c r="D691" s="24"/>
      <c r="E691" s="24"/>
      <c r="F691" s="42">
        <f>F692</f>
        <v>3720</v>
      </c>
      <c r="G691" s="42">
        <f>G692</f>
        <v>3720</v>
      </c>
    </row>
    <row r="692" spans="1:7" ht="27" x14ac:dyDescent="0.2">
      <c r="A692" s="86" t="s">
        <v>85</v>
      </c>
      <c r="B692" s="53" t="s">
        <v>232</v>
      </c>
      <c r="C692" s="53" t="s">
        <v>731</v>
      </c>
      <c r="D692" s="53" t="s">
        <v>175</v>
      </c>
      <c r="E692" s="24"/>
      <c r="F692" s="57">
        <f>F693</f>
        <v>3720</v>
      </c>
      <c r="G692" s="57">
        <f>G693</f>
        <v>3720</v>
      </c>
    </row>
    <row r="693" spans="1:7" x14ac:dyDescent="0.2">
      <c r="A693" s="80" t="s">
        <v>205</v>
      </c>
      <c r="B693" s="24" t="s">
        <v>232</v>
      </c>
      <c r="C693" s="24" t="s">
        <v>731</v>
      </c>
      <c r="D693" s="24" t="s">
        <v>206</v>
      </c>
      <c r="E693" s="24"/>
      <c r="F693" s="42">
        <f>F694+F698</f>
        <v>3720</v>
      </c>
      <c r="G693" s="42">
        <f>G694+G698</f>
        <v>3720</v>
      </c>
    </row>
    <row r="694" spans="1:7" ht="24" x14ac:dyDescent="0.2">
      <c r="A694" s="80" t="s">
        <v>501</v>
      </c>
      <c r="B694" s="24" t="s">
        <v>232</v>
      </c>
      <c r="C694" s="24" t="s">
        <v>731</v>
      </c>
      <c r="D694" s="24" t="s">
        <v>207</v>
      </c>
      <c r="E694" s="24"/>
      <c r="F694" s="42">
        <f t="shared" ref="F694:G696" si="23">F695</f>
        <v>3635</v>
      </c>
      <c r="G694" s="42">
        <f t="shared" si="23"/>
        <v>3635</v>
      </c>
    </row>
    <row r="695" spans="1:7" x14ac:dyDescent="0.2">
      <c r="A695" s="81" t="s">
        <v>475</v>
      </c>
      <c r="B695" s="25" t="s">
        <v>232</v>
      </c>
      <c r="C695" s="25" t="s">
        <v>731</v>
      </c>
      <c r="D695" s="25" t="s">
        <v>207</v>
      </c>
      <c r="E695" s="25"/>
      <c r="F695" s="45">
        <f t="shared" si="23"/>
        <v>3635</v>
      </c>
      <c r="G695" s="45">
        <f t="shared" si="23"/>
        <v>3635</v>
      </c>
    </row>
    <row r="696" spans="1:7" ht="36" x14ac:dyDescent="0.2">
      <c r="A696" s="84" t="s">
        <v>217</v>
      </c>
      <c r="B696" s="30" t="s">
        <v>232</v>
      </c>
      <c r="C696" s="30" t="s">
        <v>731</v>
      </c>
      <c r="D696" s="30" t="s">
        <v>207</v>
      </c>
      <c r="E696" s="30" t="s">
        <v>218</v>
      </c>
      <c r="F696" s="41">
        <f t="shared" si="23"/>
        <v>3635</v>
      </c>
      <c r="G696" s="41">
        <f t="shared" si="23"/>
        <v>3635</v>
      </c>
    </row>
    <row r="697" spans="1:7" x14ac:dyDescent="0.2">
      <c r="A697" s="84" t="s">
        <v>219</v>
      </c>
      <c r="B697" s="30" t="s">
        <v>232</v>
      </c>
      <c r="C697" s="30" t="s">
        <v>731</v>
      </c>
      <c r="D697" s="30" t="s">
        <v>207</v>
      </c>
      <c r="E697" s="30" t="s">
        <v>224</v>
      </c>
      <c r="F697" s="41">
        <f>2740+70+825</f>
        <v>3635</v>
      </c>
      <c r="G697" s="41">
        <f>2740+70+825</f>
        <v>3635</v>
      </c>
    </row>
    <row r="698" spans="1:7" x14ac:dyDescent="0.2">
      <c r="A698" s="80" t="s">
        <v>225</v>
      </c>
      <c r="B698" s="24" t="s">
        <v>232</v>
      </c>
      <c r="C698" s="24" t="s">
        <v>731</v>
      </c>
      <c r="D698" s="24" t="s">
        <v>208</v>
      </c>
      <c r="E698" s="24"/>
      <c r="F698" s="42">
        <f>F699+F701</f>
        <v>85</v>
      </c>
      <c r="G698" s="42">
        <f>G699+G701</f>
        <v>85</v>
      </c>
    </row>
    <row r="699" spans="1:7" x14ac:dyDescent="0.2">
      <c r="A699" s="84" t="s">
        <v>473</v>
      </c>
      <c r="B699" s="30" t="s">
        <v>232</v>
      </c>
      <c r="C699" s="30" t="s">
        <v>731</v>
      </c>
      <c r="D699" s="30" t="s">
        <v>208</v>
      </c>
      <c r="E699" s="30" t="s">
        <v>226</v>
      </c>
      <c r="F699" s="41">
        <f>F700</f>
        <v>75</v>
      </c>
      <c r="G699" s="41">
        <f>G700</f>
        <v>75</v>
      </c>
    </row>
    <row r="700" spans="1:7" x14ac:dyDescent="0.2">
      <c r="A700" s="84" t="s">
        <v>227</v>
      </c>
      <c r="B700" s="30" t="s">
        <v>232</v>
      </c>
      <c r="C700" s="30" t="s">
        <v>731</v>
      </c>
      <c r="D700" s="30" t="s">
        <v>208</v>
      </c>
      <c r="E700" s="30" t="s">
        <v>228</v>
      </c>
      <c r="F700" s="41">
        <v>75</v>
      </c>
      <c r="G700" s="41">
        <v>75</v>
      </c>
    </row>
    <row r="701" spans="1:7" x14ac:dyDescent="0.2">
      <c r="A701" s="84" t="s">
        <v>229</v>
      </c>
      <c r="B701" s="30" t="s">
        <v>232</v>
      </c>
      <c r="C701" s="30" t="s">
        <v>731</v>
      </c>
      <c r="D701" s="30" t="s">
        <v>208</v>
      </c>
      <c r="E701" s="30" t="s">
        <v>230</v>
      </c>
      <c r="F701" s="41">
        <f>F702</f>
        <v>10</v>
      </c>
      <c r="G701" s="41">
        <f>G702</f>
        <v>10</v>
      </c>
    </row>
    <row r="702" spans="1:7" x14ac:dyDescent="0.2">
      <c r="A702" s="84" t="s">
        <v>106</v>
      </c>
      <c r="B702" s="30" t="s">
        <v>232</v>
      </c>
      <c r="C702" s="30" t="s">
        <v>731</v>
      </c>
      <c r="D702" s="30" t="s">
        <v>208</v>
      </c>
      <c r="E702" s="30" t="s">
        <v>231</v>
      </c>
      <c r="F702" s="41">
        <v>10</v>
      </c>
      <c r="G702" s="41">
        <v>10</v>
      </c>
    </row>
    <row r="703" spans="1:7" x14ac:dyDescent="0.2">
      <c r="A703" s="80" t="s">
        <v>692</v>
      </c>
      <c r="B703" s="24" t="s">
        <v>823</v>
      </c>
      <c r="C703" s="24" t="s">
        <v>215</v>
      </c>
      <c r="D703" s="24"/>
      <c r="E703" s="24"/>
      <c r="F703" s="42">
        <f>F704+F714</f>
        <v>10694</v>
      </c>
      <c r="G703" s="42">
        <f>G704+G714</f>
        <v>10694</v>
      </c>
    </row>
    <row r="704" spans="1:7" x14ac:dyDescent="0.2">
      <c r="A704" s="80" t="s">
        <v>679</v>
      </c>
      <c r="B704" s="24" t="s">
        <v>823</v>
      </c>
      <c r="C704" s="24" t="s">
        <v>214</v>
      </c>
      <c r="D704" s="24" t="s">
        <v>382</v>
      </c>
      <c r="E704" s="24"/>
      <c r="F704" s="42">
        <f t="shared" ref="F704:G706" si="24">F705</f>
        <v>3694</v>
      </c>
      <c r="G704" s="42">
        <f t="shared" si="24"/>
        <v>3694</v>
      </c>
    </row>
    <row r="705" spans="1:7" x14ac:dyDescent="0.2">
      <c r="A705" s="80" t="s">
        <v>250</v>
      </c>
      <c r="B705" s="24" t="s">
        <v>823</v>
      </c>
      <c r="C705" s="24" t="s">
        <v>214</v>
      </c>
      <c r="D705" s="24" t="s">
        <v>383</v>
      </c>
      <c r="E705" s="24"/>
      <c r="F705" s="42">
        <f t="shared" si="24"/>
        <v>3694</v>
      </c>
      <c r="G705" s="42">
        <f t="shared" si="24"/>
        <v>3694</v>
      </c>
    </row>
    <row r="706" spans="1:7" x14ac:dyDescent="0.2">
      <c r="A706" s="85" t="s">
        <v>819</v>
      </c>
      <c r="B706" s="33" t="s">
        <v>823</v>
      </c>
      <c r="C706" s="33" t="s">
        <v>214</v>
      </c>
      <c r="D706" s="33" t="s">
        <v>555</v>
      </c>
      <c r="E706" s="33"/>
      <c r="F706" s="101">
        <f t="shared" si="24"/>
        <v>3694</v>
      </c>
      <c r="G706" s="101">
        <f t="shared" si="24"/>
        <v>3694</v>
      </c>
    </row>
    <row r="707" spans="1:7" x14ac:dyDescent="0.2">
      <c r="A707" s="80" t="s">
        <v>168</v>
      </c>
      <c r="B707" s="24" t="s">
        <v>823</v>
      </c>
      <c r="C707" s="24" t="s">
        <v>214</v>
      </c>
      <c r="D707" s="24" t="s">
        <v>555</v>
      </c>
      <c r="E707" s="24"/>
      <c r="F707" s="42">
        <f>F708+F710+F712</f>
        <v>3694</v>
      </c>
      <c r="G707" s="42">
        <f>G708+G710+G712</f>
        <v>3694</v>
      </c>
    </row>
    <row r="708" spans="1:7" ht="36" x14ac:dyDescent="0.2">
      <c r="A708" s="84" t="s">
        <v>217</v>
      </c>
      <c r="B708" s="30" t="s">
        <v>823</v>
      </c>
      <c r="C708" s="30" t="s">
        <v>214</v>
      </c>
      <c r="D708" s="30" t="s">
        <v>555</v>
      </c>
      <c r="E708" s="30" t="s">
        <v>218</v>
      </c>
      <c r="F708" s="41">
        <f>F709</f>
        <v>3071</v>
      </c>
      <c r="G708" s="41">
        <f>G709</f>
        <v>3071</v>
      </c>
    </row>
    <row r="709" spans="1:7" x14ac:dyDescent="0.2">
      <c r="A709" s="84" t="s">
        <v>820</v>
      </c>
      <c r="B709" s="30" t="s">
        <v>823</v>
      </c>
      <c r="C709" s="30" t="s">
        <v>214</v>
      </c>
      <c r="D709" s="30" t="s">
        <v>555</v>
      </c>
      <c r="E709" s="30" t="s">
        <v>821</v>
      </c>
      <c r="F709" s="41">
        <f>2271+114+686</f>
        <v>3071</v>
      </c>
      <c r="G709" s="41">
        <f>2271+114+686</f>
        <v>3071</v>
      </c>
    </row>
    <row r="710" spans="1:7" x14ac:dyDescent="0.2">
      <c r="A710" s="84" t="s">
        <v>473</v>
      </c>
      <c r="B710" s="30" t="s">
        <v>823</v>
      </c>
      <c r="C710" s="30" t="s">
        <v>214</v>
      </c>
      <c r="D710" s="30" t="s">
        <v>555</v>
      </c>
      <c r="E710" s="30" t="s">
        <v>226</v>
      </c>
      <c r="F710" s="41">
        <f>F711</f>
        <v>617</v>
      </c>
      <c r="G710" s="41">
        <f>G711</f>
        <v>617</v>
      </c>
    </row>
    <row r="711" spans="1:7" x14ac:dyDescent="0.2">
      <c r="A711" s="84" t="s">
        <v>227</v>
      </c>
      <c r="B711" s="30" t="s">
        <v>823</v>
      </c>
      <c r="C711" s="30" t="s">
        <v>214</v>
      </c>
      <c r="D711" s="30" t="s">
        <v>555</v>
      </c>
      <c r="E711" s="30" t="s">
        <v>228</v>
      </c>
      <c r="F711" s="41">
        <v>617</v>
      </c>
      <c r="G711" s="41">
        <v>617</v>
      </c>
    </row>
    <row r="712" spans="1:7" x14ac:dyDescent="0.2">
      <c r="A712" s="84" t="s">
        <v>229</v>
      </c>
      <c r="B712" s="30" t="s">
        <v>823</v>
      </c>
      <c r="C712" s="30" t="s">
        <v>214</v>
      </c>
      <c r="D712" s="30" t="s">
        <v>555</v>
      </c>
      <c r="E712" s="30" t="s">
        <v>230</v>
      </c>
      <c r="F712" s="41">
        <f>F713</f>
        <v>6</v>
      </c>
      <c r="G712" s="41">
        <f>G713</f>
        <v>6</v>
      </c>
    </row>
    <row r="713" spans="1:7" x14ac:dyDescent="0.2">
      <c r="A713" s="84" t="s">
        <v>311</v>
      </c>
      <c r="B713" s="30" t="s">
        <v>823</v>
      </c>
      <c r="C713" s="30" t="s">
        <v>214</v>
      </c>
      <c r="D713" s="30" t="s">
        <v>555</v>
      </c>
      <c r="E713" s="30" t="s">
        <v>231</v>
      </c>
      <c r="F713" s="41">
        <v>6</v>
      </c>
      <c r="G713" s="41">
        <v>6</v>
      </c>
    </row>
    <row r="714" spans="1:7" ht="15.75" x14ac:dyDescent="0.2">
      <c r="A714" s="80" t="s">
        <v>680</v>
      </c>
      <c r="B714" s="24" t="s">
        <v>823</v>
      </c>
      <c r="C714" s="24" t="s">
        <v>825</v>
      </c>
      <c r="D714" s="24" t="s">
        <v>382</v>
      </c>
      <c r="E714" s="47"/>
      <c r="F714" s="42">
        <f t="shared" ref="F714:G717" si="25">F715</f>
        <v>7000</v>
      </c>
      <c r="G714" s="42">
        <f t="shared" si="25"/>
        <v>7000</v>
      </c>
    </row>
    <row r="715" spans="1:7" x14ac:dyDescent="0.2">
      <c r="A715" s="80" t="s">
        <v>250</v>
      </c>
      <c r="B715" s="24" t="s">
        <v>823</v>
      </c>
      <c r="C715" s="24" t="s">
        <v>825</v>
      </c>
      <c r="D715" s="24" t="s">
        <v>383</v>
      </c>
      <c r="E715" s="24"/>
      <c r="F715" s="42">
        <f t="shared" si="25"/>
        <v>7000</v>
      </c>
      <c r="G715" s="42">
        <f t="shared" si="25"/>
        <v>7000</v>
      </c>
    </row>
    <row r="716" spans="1:7" ht="24" x14ac:dyDescent="0.2">
      <c r="A716" s="80" t="s">
        <v>171</v>
      </c>
      <c r="B716" s="24" t="s">
        <v>823</v>
      </c>
      <c r="C716" s="24" t="s">
        <v>825</v>
      </c>
      <c r="D716" s="24" t="s">
        <v>556</v>
      </c>
      <c r="E716" s="24"/>
      <c r="F716" s="42">
        <f t="shared" si="25"/>
        <v>7000</v>
      </c>
      <c r="G716" s="42">
        <f t="shared" si="25"/>
        <v>7000</v>
      </c>
    </row>
    <row r="717" spans="1:7" ht="24" x14ac:dyDescent="0.2">
      <c r="A717" s="84" t="s">
        <v>246</v>
      </c>
      <c r="B717" s="30" t="s">
        <v>823</v>
      </c>
      <c r="C717" s="30" t="s">
        <v>825</v>
      </c>
      <c r="D717" s="30" t="s">
        <v>556</v>
      </c>
      <c r="E717" s="30" t="s">
        <v>702</v>
      </c>
      <c r="F717" s="41">
        <f t="shared" si="25"/>
        <v>7000</v>
      </c>
      <c r="G717" s="41">
        <f t="shared" si="25"/>
        <v>7000</v>
      </c>
    </row>
    <row r="718" spans="1:7" x14ac:dyDescent="0.2">
      <c r="A718" s="84" t="s">
        <v>247</v>
      </c>
      <c r="B718" s="30" t="s">
        <v>823</v>
      </c>
      <c r="C718" s="30" t="s">
        <v>825</v>
      </c>
      <c r="D718" s="30" t="s">
        <v>556</v>
      </c>
      <c r="E718" s="30" t="s">
        <v>724</v>
      </c>
      <c r="F718" s="41">
        <v>7000</v>
      </c>
      <c r="G718" s="41">
        <v>7000</v>
      </c>
    </row>
    <row r="719" spans="1:7" x14ac:dyDescent="0.2">
      <c r="A719" s="80" t="s">
        <v>693</v>
      </c>
      <c r="B719" s="24" t="s">
        <v>235</v>
      </c>
      <c r="C719" s="24" t="s">
        <v>215</v>
      </c>
      <c r="D719" s="24"/>
      <c r="E719" s="24"/>
      <c r="F719" s="42">
        <f t="shared" ref="F719:G723" si="26">F720</f>
        <v>112000</v>
      </c>
      <c r="G719" s="42">
        <f t="shared" si="26"/>
        <v>122000</v>
      </c>
    </row>
    <row r="720" spans="1:7" x14ac:dyDescent="0.2">
      <c r="A720" s="80" t="s">
        <v>476</v>
      </c>
      <c r="B720" s="24" t="s">
        <v>235</v>
      </c>
      <c r="C720" s="24" t="s">
        <v>214</v>
      </c>
      <c r="D720" s="43" t="s">
        <v>383</v>
      </c>
      <c r="E720" s="24"/>
      <c r="F720" s="42">
        <f t="shared" si="26"/>
        <v>112000</v>
      </c>
      <c r="G720" s="42">
        <f t="shared" si="26"/>
        <v>122000</v>
      </c>
    </row>
    <row r="721" spans="1:7" ht="15.75" x14ac:dyDescent="0.2">
      <c r="A721" s="80" t="s">
        <v>727</v>
      </c>
      <c r="B721" s="24" t="s">
        <v>235</v>
      </c>
      <c r="C721" s="24" t="s">
        <v>214</v>
      </c>
      <c r="D721" s="24" t="s">
        <v>47</v>
      </c>
      <c r="E721" s="47"/>
      <c r="F721" s="42">
        <f t="shared" si="26"/>
        <v>112000</v>
      </c>
      <c r="G721" s="42">
        <f t="shared" si="26"/>
        <v>122000</v>
      </c>
    </row>
    <row r="722" spans="1:7" x14ac:dyDescent="0.2">
      <c r="A722" s="85" t="s">
        <v>507</v>
      </c>
      <c r="B722" s="33" t="s">
        <v>235</v>
      </c>
      <c r="C722" s="33" t="s">
        <v>214</v>
      </c>
      <c r="D722" s="55" t="s">
        <v>47</v>
      </c>
      <c r="E722" s="33"/>
      <c r="F722" s="101">
        <f t="shared" si="26"/>
        <v>112000</v>
      </c>
      <c r="G722" s="101">
        <f t="shared" si="26"/>
        <v>122000</v>
      </c>
    </row>
    <row r="723" spans="1:7" x14ac:dyDescent="0.2">
      <c r="A723" s="84" t="s">
        <v>477</v>
      </c>
      <c r="B723" s="30" t="s">
        <v>235</v>
      </c>
      <c r="C723" s="30" t="s">
        <v>214</v>
      </c>
      <c r="D723" s="30" t="s">
        <v>47</v>
      </c>
      <c r="E723" s="30" t="s">
        <v>478</v>
      </c>
      <c r="F723" s="41">
        <f t="shared" si="26"/>
        <v>112000</v>
      </c>
      <c r="G723" s="41">
        <f t="shared" si="26"/>
        <v>122000</v>
      </c>
    </row>
    <row r="724" spans="1:7" x14ac:dyDescent="0.2">
      <c r="A724" s="84" t="s">
        <v>479</v>
      </c>
      <c r="B724" s="30" t="s">
        <v>235</v>
      </c>
      <c r="C724" s="30" t="s">
        <v>214</v>
      </c>
      <c r="D724" s="30" t="s">
        <v>47</v>
      </c>
      <c r="E724" s="30" t="s">
        <v>708</v>
      </c>
      <c r="F724" s="41">
        <f>122000-10000</f>
        <v>112000</v>
      </c>
      <c r="G724" s="41">
        <v>122000</v>
      </c>
    </row>
    <row r="725" spans="1:7" x14ac:dyDescent="0.2">
      <c r="A725" s="241" t="s">
        <v>591</v>
      </c>
      <c r="B725" s="241"/>
      <c r="C725" s="241"/>
      <c r="D725" s="241"/>
      <c r="E725" s="241"/>
      <c r="F725" s="42">
        <f>3984811.4*2.6%</f>
        <v>103605.09640000001</v>
      </c>
      <c r="G725" s="42">
        <f>3868323*5%</f>
        <v>193416.15000000002</v>
      </c>
    </row>
    <row r="726" spans="1:7" hidden="1" x14ac:dyDescent="0.2">
      <c r="A726" s="56"/>
      <c r="B726" s="10"/>
      <c r="C726" s="10"/>
      <c r="D726" s="10"/>
      <c r="E726" s="10"/>
    </row>
    <row r="727" spans="1:7" hidden="1" x14ac:dyDescent="0.2">
      <c r="A727" s="56"/>
      <c r="B727" s="10"/>
      <c r="C727" s="10"/>
      <c r="D727" s="10"/>
      <c r="E727" s="10"/>
    </row>
    <row r="728" spans="1:7" ht="15.75" hidden="1" x14ac:dyDescent="0.25">
      <c r="A728" s="246" t="s">
        <v>595</v>
      </c>
      <c r="B728" s="246"/>
      <c r="C728" s="246"/>
      <c r="D728" s="10"/>
      <c r="E728" s="10"/>
    </row>
    <row r="729" spans="1:7" ht="15.75" hidden="1" customHeight="1" x14ac:dyDescent="0.25">
      <c r="A729" s="246" t="s">
        <v>596</v>
      </c>
      <c r="B729" s="246"/>
      <c r="C729" s="246"/>
      <c r="D729" s="10"/>
      <c r="E729" s="10"/>
    </row>
    <row r="730" spans="1:7" x14ac:dyDescent="0.2">
      <c r="A730" s="56"/>
      <c r="B730" s="10"/>
      <c r="C730" s="10"/>
      <c r="D730" s="10"/>
      <c r="E730" s="10"/>
    </row>
    <row r="731" spans="1:7" ht="15" x14ac:dyDescent="0.25">
      <c r="A731" s="183"/>
      <c r="B731" s="10"/>
      <c r="C731" s="10"/>
      <c r="D731" s="10"/>
      <c r="E731" s="10"/>
    </row>
    <row r="732" spans="1:7" x14ac:dyDescent="0.2">
      <c r="A732" s="56"/>
      <c r="B732" s="10"/>
      <c r="C732" s="10"/>
      <c r="D732" s="10"/>
      <c r="E732" s="10"/>
    </row>
    <row r="733" spans="1:7" x14ac:dyDescent="0.2">
      <c r="A733" s="56"/>
      <c r="B733" s="10"/>
      <c r="C733" s="10"/>
      <c r="D733" s="10"/>
      <c r="E733" s="10"/>
    </row>
    <row r="734" spans="1:7" x14ac:dyDescent="0.2">
      <c r="A734" s="56"/>
      <c r="B734" s="10"/>
      <c r="C734" s="10"/>
      <c r="D734" s="10"/>
      <c r="E734" s="10"/>
    </row>
    <row r="735" spans="1:7" x14ac:dyDescent="0.2">
      <c r="A735" s="56"/>
      <c r="B735" s="10"/>
      <c r="C735" s="10"/>
      <c r="D735" s="10"/>
      <c r="E735" s="10"/>
    </row>
    <row r="736" spans="1:7" x14ac:dyDescent="0.2">
      <c r="A736" s="56"/>
      <c r="B736" s="10"/>
      <c r="C736" s="10"/>
      <c r="D736" s="10"/>
      <c r="E736" s="10"/>
    </row>
    <row r="737" spans="1:5" x14ac:dyDescent="0.2">
      <c r="A737" s="56"/>
      <c r="B737" s="10"/>
      <c r="C737" s="10"/>
      <c r="D737" s="10"/>
      <c r="E737" s="10"/>
    </row>
    <row r="738" spans="1:5" x14ac:dyDescent="0.2">
      <c r="A738" s="56"/>
      <c r="B738" s="10"/>
      <c r="C738" s="10"/>
      <c r="D738" s="10"/>
      <c r="E738" s="10"/>
    </row>
    <row r="739" spans="1:5" x14ac:dyDescent="0.2">
      <c r="A739" s="56"/>
      <c r="B739" s="10"/>
      <c r="C739" s="10"/>
      <c r="D739" s="10"/>
      <c r="E739" s="10"/>
    </row>
    <row r="740" spans="1:5" x14ac:dyDescent="0.2">
      <c r="A740" s="56"/>
      <c r="B740" s="10"/>
      <c r="C740" s="10"/>
      <c r="D740" s="10"/>
      <c r="E740" s="10"/>
    </row>
    <row r="741" spans="1:5" x14ac:dyDescent="0.2">
      <c r="A741" s="56"/>
      <c r="B741" s="10"/>
      <c r="C741" s="10"/>
      <c r="D741" s="10"/>
      <c r="E741" s="10"/>
    </row>
    <row r="742" spans="1:5" x14ac:dyDescent="0.2">
      <c r="A742" s="56"/>
      <c r="B742" s="10"/>
      <c r="C742" s="10"/>
      <c r="D742" s="10"/>
      <c r="E742" s="10"/>
    </row>
    <row r="743" spans="1:5" x14ac:dyDescent="0.2">
      <c r="A743" s="56"/>
      <c r="B743" s="10"/>
      <c r="C743" s="10"/>
      <c r="D743" s="10"/>
      <c r="E743" s="10"/>
    </row>
    <row r="744" spans="1:5" x14ac:dyDescent="0.2">
      <c r="A744" s="56"/>
      <c r="B744" s="10"/>
      <c r="C744" s="10"/>
      <c r="D744" s="10"/>
      <c r="E744" s="10"/>
    </row>
    <row r="745" spans="1:5" x14ac:dyDescent="0.2">
      <c r="A745" s="56"/>
      <c r="B745" s="10"/>
      <c r="C745" s="10"/>
      <c r="D745" s="10"/>
      <c r="E745" s="10"/>
    </row>
    <row r="746" spans="1:5" x14ac:dyDescent="0.2">
      <c r="A746" s="56"/>
      <c r="B746" s="10"/>
      <c r="C746" s="10"/>
      <c r="D746" s="10"/>
      <c r="E746" s="10"/>
    </row>
    <row r="747" spans="1:5" x14ac:dyDescent="0.2">
      <c r="A747" s="56"/>
      <c r="B747" s="10"/>
      <c r="C747" s="10"/>
      <c r="D747" s="10"/>
      <c r="E747" s="10"/>
    </row>
    <row r="748" spans="1:5" x14ac:dyDescent="0.2">
      <c r="A748" s="56"/>
      <c r="B748" s="10"/>
      <c r="C748" s="10"/>
      <c r="D748" s="10"/>
      <c r="E748" s="10"/>
    </row>
    <row r="749" spans="1:5" x14ac:dyDescent="0.2">
      <c r="A749" s="56"/>
      <c r="B749" s="10"/>
      <c r="C749" s="10"/>
      <c r="D749" s="10"/>
      <c r="E749" s="10"/>
    </row>
    <row r="750" spans="1:5" x14ac:dyDescent="0.2">
      <c r="A750" s="56"/>
      <c r="B750" s="10"/>
      <c r="C750" s="10"/>
      <c r="D750" s="10"/>
      <c r="E750" s="10"/>
    </row>
    <row r="751" spans="1:5" x14ac:dyDescent="0.2">
      <c r="A751" s="56"/>
      <c r="B751" s="10"/>
      <c r="C751" s="10"/>
      <c r="D751" s="10"/>
      <c r="E751" s="10"/>
    </row>
    <row r="752" spans="1:5" x14ac:dyDescent="0.2">
      <c r="A752" s="56"/>
      <c r="B752" s="10"/>
      <c r="C752" s="10"/>
      <c r="D752" s="10"/>
      <c r="E752" s="10"/>
    </row>
    <row r="753" spans="1:5" x14ac:dyDescent="0.2">
      <c r="A753" s="56"/>
      <c r="B753" s="10"/>
      <c r="C753" s="10"/>
      <c r="D753" s="10"/>
      <c r="E753" s="10"/>
    </row>
    <row r="754" spans="1:5" x14ac:dyDescent="0.2">
      <c r="A754" s="56"/>
      <c r="B754" s="10"/>
      <c r="C754" s="10"/>
      <c r="D754" s="10"/>
      <c r="E754" s="10"/>
    </row>
    <row r="755" spans="1:5" x14ac:dyDescent="0.2">
      <c r="A755" s="56"/>
      <c r="B755" s="10"/>
      <c r="C755" s="10"/>
      <c r="D755" s="10"/>
      <c r="E755" s="10"/>
    </row>
    <row r="756" spans="1:5" x14ac:dyDescent="0.2">
      <c r="A756" s="56"/>
      <c r="B756" s="10"/>
      <c r="C756" s="10"/>
      <c r="D756" s="10"/>
      <c r="E756" s="10"/>
    </row>
    <row r="757" spans="1:5" x14ac:dyDescent="0.2">
      <c r="A757" s="56"/>
      <c r="B757" s="10"/>
      <c r="C757" s="10"/>
      <c r="D757" s="10"/>
      <c r="E757" s="10"/>
    </row>
    <row r="758" spans="1:5" x14ac:dyDescent="0.2">
      <c r="A758" s="56"/>
      <c r="B758" s="10"/>
      <c r="C758" s="10"/>
      <c r="D758" s="10"/>
      <c r="E758" s="10"/>
    </row>
    <row r="759" spans="1:5" x14ac:dyDescent="0.2">
      <c r="A759" s="56"/>
      <c r="B759" s="10"/>
      <c r="C759" s="10"/>
      <c r="D759" s="10"/>
      <c r="E759" s="10"/>
    </row>
    <row r="760" spans="1:5" x14ac:dyDescent="0.2">
      <c r="A760" s="56"/>
      <c r="B760" s="10"/>
      <c r="C760" s="10"/>
      <c r="D760" s="10"/>
      <c r="E760" s="10"/>
    </row>
    <row r="761" spans="1:5" x14ac:dyDescent="0.2">
      <c r="A761" s="56"/>
      <c r="B761" s="10"/>
      <c r="C761" s="10"/>
      <c r="D761" s="10"/>
      <c r="E761" s="10"/>
    </row>
    <row r="762" spans="1:5" x14ac:dyDescent="0.2">
      <c r="A762" s="56"/>
      <c r="B762" s="10"/>
      <c r="C762" s="10"/>
      <c r="D762" s="10"/>
      <c r="E762" s="10"/>
    </row>
    <row r="763" spans="1:5" x14ac:dyDescent="0.2">
      <c r="A763" s="56"/>
      <c r="B763" s="10"/>
      <c r="C763" s="10"/>
      <c r="D763" s="10"/>
      <c r="E763" s="10"/>
    </row>
    <row r="764" spans="1:5" x14ac:dyDescent="0.2">
      <c r="A764" s="56"/>
      <c r="B764" s="10"/>
      <c r="C764" s="10"/>
      <c r="D764" s="10"/>
      <c r="E764" s="10"/>
    </row>
    <row r="765" spans="1:5" x14ac:dyDescent="0.2">
      <c r="A765" s="56"/>
      <c r="B765" s="10"/>
      <c r="C765" s="10"/>
      <c r="D765" s="10"/>
      <c r="E765" s="10"/>
    </row>
    <row r="766" spans="1:5" x14ac:dyDescent="0.2">
      <c r="A766" s="56"/>
      <c r="B766" s="10"/>
      <c r="C766" s="10"/>
      <c r="D766" s="10"/>
      <c r="E766" s="10"/>
    </row>
    <row r="767" spans="1:5" x14ac:dyDescent="0.2">
      <c r="A767" s="56"/>
      <c r="B767" s="10"/>
      <c r="C767" s="10"/>
      <c r="D767" s="10"/>
      <c r="E767" s="10"/>
    </row>
    <row r="768" spans="1:5" x14ac:dyDescent="0.2">
      <c r="A768" s="56"/>
      <c r="B768" s="10"/>
      <c r="C768" s="10"/>
      <c r="D768" s="10"/>
      <c r="E768" s="10"/>
    </row>
    <row r="769" spans="1:5" x14ac:dyDescent="0.2">
      <c r="A769" s="56"/>
      <c r="B769" s="10"/>
      <c r="C769" s="10"/>
      <c r="D769" s="10"/>
      <c r="E769" s="10"/>
    </row>
    <row r="770" spans="1:5" x14ac:dyDescent="0.2">
      <c r="A770" s="56"/>
      <c r="B770" s="10"/>
      <c r="C770" s="10"/>
      <c r="D770" s="10"/>
      <c r="E770" s="10"/>
    </row>
    <row r="771" spans="1:5" x14ac:dyDescent="0.2">
      <c r="A771" s="56"/>
      <c r="B771" s="10"/>
      <c r="C771" s="10"/>
      <c r="D771" s="10"/>
      <c r="E771" s="10"/>
    </row>
    <row r="772" spans="1:5" x14ac:dyDescent="0.2">
      <c r="A772" s="56"/>
      <c r="B772" s="10"/>
      <c r="C772" s="10"/>
      <c r="D772" s="10"/>
      <c r="E772" s="10"/>
    </row>
    <row r="773" spans="1:5" x14ac:dyDescent="0.2">
      <c r="A773" s="56"/>
      <c r="B773" s="10"/>
      <c r="C773" s="10"/>
      <c r="D773" s="10"/>
      <c r="E773" s="10"/>
    </row>
    <row r="774" spans="1:5" x14ac:dyDescent="0.2">
      <c r="A774" s="56"/>
      <c r="B774" s="10"/>
      <c r="C774" s="10"/>
      <c r="D774" s="10"/>
      <c r="E774" s="10"/>
    </row>
    <row r="775" spans="1:5" x14ac:dyDescent="0.2">
      <c r="A775" s="56"/>
      <c r="B775" s="10"/>
      <c r="C775" s="10"/>
      <c r="D775" s="10"/>
      <c r="E775" s="10"/>
    </row>
    <row r="776" spans="1:5" x14ac:dyDescent="0.2">
      <c r="A776" s="56"/>
      <c r="B776" s="10"/>
      <c r="C776" s="10"/>
      <c r="D776" s="10"/>
      <c r="E776" s="10"/>
    </row>
    <row r="777" spans="1:5" x14ac:dyDescent="0.2">
      <c r="A777" s="56"/>
      <c r="B777" s="10"/>
      <c r="C777" s="10"/>
      <c r="D777" s="10"/>
      <c r="E777" s="10"/>
    </row>
    <row r="778" spans="1:5" x14ac:dyDescent="0.2">
      <c r="A778" s="56"/>
      <c r="B778" s="10"/>
      <c r="C778" s="10"/>
      <c r="D778" s="10"/>
      <c r="E778" s="10"/>
    </row>
    <row r="779" spans="1:5" x14ac:dyDescent="0.2">
      <c r="A779" s="56"/>
      <c r="B779" s="10"/>
      <c r="C779" s="10"/>
      <c r="D779" s="10"/>
      <c r="E779" s="10"/>
    </row>
    <row r="780" spans="1:5" x14ac:dyDescent="0.2">
      <c r="A780" s="56"/>
      <c r="B780" s="10"/>
      <c r="C780" s="10"/>
      <c r="D780" s="10"/>
      <c r="E780" s="10"/>
    </row>
    <row r="781" spans="1:5" x14ac:dyDescent="0.2">
      <c r="A781" s="56"/>
      <c r="B781" s="10"/>
      <c r="C781" s="10"/>
      <c r="D781" s="10"/>
      <c r="E781" s="10"/>
    </row>
    <row r="782" spans="1:5" x14ac:dyDescent="0.2">
      <c r="A782" s="56"/>
      <c r="B782" s="10"/>
      <c r="C782" s="10"/>
      <c r="D782" s="10"/>
      <c r="E782" s="10"/>
    </row>
    <row r="783" spans="1:5" x14ac:dyDescent="0.2">
      <c r="A783" s="56"/>
      <c r="B783" s="10"/>
      <c r="C783" s="10"/>
      <c r="D783" s="10"/>
      <c r="E783" s="10"/>
    </row>
    <row r="784" spans="1:5" x14ac:dyDescent="0.2">
      <c r="A784" s="56"/>
      <c r="B784" s="10"/>
      <c r="C784" s="10"/>
      <c r="D784" s="10"/>
      <c r="E784" s="10"/>
    </row>
    <row r="785" spans="1:5" x14ac:dyDescent="0.2">
      <c r="A785" s="56"/>
      <c r="B785" s="10"/>
      <c r="C785" s="10"/>
      <c r="D785" s="10"/>
      <c r="E785" s="10"/>
    </row>
    <row r="786" spans="1:5" x14ac:dyDescent="0.2">
      <c r="A786" s="56"/>
      <c r="B786" s="10"/>
      <c r="C786" s="10"/>
      <c r="D786" s="10"/>
      <c r="E786" s="10"/>
    </row>
    <row r="787" spans="1:5" x14ac:dyDescent="0.2">
      <c r="A787" s="56"/>
      <c r="B787" s="10"/>
      <c r="C787" s="10"/>
      <c r="D787" s="10"/>
      <c r="E787" s="10"/>
    </row>
    <row r="788" spans="1:5" x14ac:dyDescent="0.2">
      <c r="A788" s="56"/>
      <c r="B788" s="10"/>
      <c r="C788" s="10"/>
      <c r="D788" s="10"/>
      <c r="E788" s="10"/>
    </row>
    <row r="789" spans="1:5" x14ac:dyDescent="0.2">
      <c r="A789" s="56"/>
      <c r="B789" s="10"/>
      <c r="C789" s="10"/>
      <c r="D789" s="10"/>
      <c r="E789" s="10"/>
    </row>
    <row r="790" spans="1:5" x14ac:dyDescent="0.2">
      <c r="A790" s="56"/>
      <c r="B790" s="10"/>
      <c r="C790" s="10"/>
      <c r="D790" s="10"/>
      <c r="E790" s="10"/>
    </row>
    <row r="791" spans="1:5" x14ac:dyDescent="0.2">
      <c r="A791" s="56"/>
      <c r="B791" s="10"/>
      <c r="C791" s="10"/>
      <c r="D791" s="10"/>
      <c r="E791" s="10"/>
    </row>
    <row r="792" spans="1:5" x14ac:dyDescent="0.2">
      <c r="A792" s="56"/>
      <c r="B792" s="10"/>
      <c r="C792" s="10"/>
      <c r="D792" s="10"/>
      <c r="E792" s="10"/>
    </row>
    <row r="793" spans="1:5" x14ac:dyDescent="0.2">
      <c r="A793" s="56"/>
      <c r="B793" s="10"/>
      <c r="C793" s="10"/>
      <c r="D793" s="10"/>
      <c r="E793" s="10"/>
    </row>
    <row r="794" spans="1:5" x14ac:dyDescent="0.2">
      <c r="A794" s="56"/>
      <c r="B794" s="10"/>
      <c r="C794" s="10"/>
      <c r="D794" s="10"/>
      <c r="E794" s="10"/>
    </row>
    <row r="795" spans="1:5" x14ac:dyDescent="0.2">
      <c r="A795" s="56"/>
      <c r="B795" s="10"/>
      <c r="C795" s="10"/>
      <c r="D795" s="10"/>
      <c r="E795" s="10"/>
    </row>
    <row r="796" spans="1:5" x14ac:dyDescent="0.2">
      <c r="A796" s="56"/>
      <c r="B796" s="10"/>
      <c r="C796" s="10"/>
      <c r="D796" s="10"/>
      <c r="E796" s="10"/>
    </row>
    <row r="797" spans="1:5" x14ac:dyDescent="0.2">
      <c r="A797" s="56"/>
      <c r="B797" s="10"/>
      <c r="C797" s="10"/>
      <c r="D797" s="10"/>
      <c r="E797" s="10"/>
    </row>
    <row r="798" spans="1:5" x14ac:dyDescent="0.2">
      <c r="A798" s="56"/>
      <c r="B798" s="10"/>
      <c r="C798" s="10"/>
      <c r="D798" s="10"/>
      <c r="E798" s="10"/>
    </row>
    <row r="799" spans="1:5" x14ac:dyDescent="0.2">
      <c r="A799" s="56"/>
      <c r="B799" s="10"/>
      <c r="C799" s="10"/>
      <c r="D799" s="10"/>
      <c r="E799" s="10"/>
    </row>
    <row r="800" spans="1:5" x14ac:dyDescent="0.2">
      <c r="A800" s="56"/>
      <c r="B800" s="10"/>
      <c r="C800" s="10"/>
      <c r="D800" s="10"/>
      <c r="E800" s="10"/>
    </row>
    <row r="801" spans="1:5" x14ac:dyDescent="0.2">
      <c r="A801" s="56"/>
      <c r="B801" s="10"/>
      <c r="C801" s="10"/>
      <c r="D801" s="10"/>
      <c r="E801" s="10"/>
    </row>
    <row r="802" spans="1:5" x14ac:dyDescent="0.2">
      <c r="A802" s="56"/>
      <c r="B802" s="10"/>
      <c r="C802" s="10"/>
      <c r="D802" s="10"/>
      <c r="E802" s="10"/>
    </row>
    <row r="803" spans="1:5" x14ac:dyDescent="0.2">
      <c r="A803" s="56"/>
      <c r="B803" s="10"/>
      <c r="C803" s="10"/>
      <c r="D803" s="10"/>
      <c r="E803" s="10"/>
    </row>
    <row r="804" spans="1:5" x14ac:dyDescent="0.2">
      <c r="A804" s="56"/>
      <c r="B804" s="10"/>
      <c r="C804" s="10"/>
      <c r="D804" s="10"/>
      <c r="E804" s="10"/>
    </row>
    <row r="805" spans="1:5" x14ac:dyDescent="0.2">
      <c r="A805" s="56"/>
      <c r="B805" s="10"/>
      <c r="C805" s="10"/>
      <c r="D805" s="10"/>
      <c r="E805" s="10"/>
    </row>
    <row r="806" spans="1:5" x14ac:dyDescent="0.2">
      <c r="A806" s="56"/>
      <c r="B806" s="10"/>
      <c r="C806" s="10"/>
      <c r="D806" s="10"/>
      <c r="E806" s="10"/>
    </row>
    <row r="807" spans="1:5" x14ac:dyDescent="0.2">
      <c r="A807" s="56"/>
      <c r="B807" s="10"/>
      <c r="C807" s="10"/>
      <c r="D807" s="10"/>
      <c r="E807" s="10"/>
    </row>
    <row r="808" spans="1:5" x14ac:dyDescent="0.2">
      <c r="A808" s="56"/>
      <c r="B808" s="10"/>
      <c r="C808" s="10"/>
      <c r="D808" s="10"/>
      <c r="E808" s="10"/>
    </row>
    <row r="809" spans="1:5" x14ac:dyDescent="0.2">
      <c r="A809" s="56"/>
      <c r="B809" s="10"/>
      <c r="C809" s="10"/>
      <c r="D809" s="10"/>
      <c r="E809" s="10"/>
    </row>
    <row r="810" spans="1:5" x14ac:dyDescent="0.2">
      <c r="A810" s="56"/>
      <c r="B810" s="10"/>
      <c r="C810" s="10"/>
      <c r="D810" s="10"/>
      <c r="E810" s="10"/>
    </row>
    <row r="811" spans="1:5" x14ac:dyDescent="0.2">
      <c r="A811" s="56"/>
      <c r="B811" s="10"/>
      <c r="C811" s="10"/>
      <c r="D811" s="10"/>
      <c r="E811" s="10"/>
    </row>
  </sheetData>
  <autoFilter ref="A20:G725"/>
  <mergeCells count="17">
    <mergeCell ref="A5:G5"/>
    <mergeCell ref="A6:G6"/>
    <mergeCell ref="A7:G7"/>
    <mergeCell ref="B1:G1"/>
    <mergeCell ref="A2:G2"/>
    <mergeCell ref="A3:G3"/>
    <mergeCell ref="A4:G4"/>
    <mergeCell ref="A10:G10"/>
    <mergeCell ref="A728:C728"/>
    <mergeCell ref="A729:C729"/>
    <mergeCell ref="A725:E725"/>
    <mergeCell ref="A19:G19"/>
    <mergeCell ref="A11:G11"/>
    <mergeCell ref="A12:G12"/>
    <mergeCell ref="A13:G13"/>
    <mergeCell ref="A17:G17"/>
    <mergeCell ref="A14:G14"/>
  </mergeCells>
  <phoneticPr fontId="2" type="noConversion"/>
  <pageMargins left="0.39370078740157483" right="0.39370078740157483" top="0.19685039370078741" bottom="0.39370078740157483" header="0" footer="0"/>
  <pageSetup paperSize="9" orientation="landscape" r:id="rId1"/>
  <headerFooter alignWithMargins="0">
    <oddFooter>&amp;C&amp;P</oddFooter>
  </headerFooter>
  <rowBreaks count="2" manualBreakCount="2">
    <brk id="593" max="6" man="1"/>
    <brk id="7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F1124"/>
  <sheetViews>
    <sheetView view="pageBreakPreview" topLeftCell="A1058" zoomScale="130" zoomScaleNormal="120" zoomScaleSheetLayoutView="130" workbookViewId="0">
      <selection activeCell="A1073" sqref="A1073"/>
    </sheetView>
  </sheetViews>
  <sheetFormatPr defaultRowHeight="12.75" x14ac:dyDescent="0.2"/>
  <cols>
    <col min="1" max="1" width="70.85546875" style="9" customWidth="1"/>
    <col min="2" max="2" width="14" style="9" customWidth="1"/>
    <col min="3" max="3" width="8.7109375" style="10" customWidth="1"/>
    <col min="4" max="4" width="8" style="10" customWidth="1"/>
    <col min="5" max="5" width="7.5703125" style="10" customWidth="1"/>
    <col min="6" max="6" width="14.42578125" customWidth="1"/>
  </cols>
  <sheetData>
    <row r="1" spans="1:6" ht="15" x14ac:dyDescent="0.25">
      <c r="A1" s="192"/>
      <c r="B1" s="232" t="s">
        <v>564</v>
      </c>
      <c r="C1" s="232"/>
      <c r="D1" s="232"/>
      <c r="E1" s="232"/>
      <c r="F1" s="232"/>
    </row>
    <row r="2" spans="1:6" ht="15" x14ac:dyDescent="0.25">
      <c r="A2" s="232" t="s">
        <v>609</v>
      </c>
      <c r="B2" s="232"/>
      <c r="C2" s="232"/>
      <c r="D2" s="232"/>
      <c r="E2" s="232"/>
      <c r="F2" s="232"/>
    </row>
    <row r="3" spans="1:6" ht="15" x14ac:dyDescent="0.25">
      <c r="A3" s="232" t="s">
        <v>853</v>
      </c>
      <c r="B3" s="232"/>
      <c r="C3" s="232"/>
      <c r="D3" s="232"/>
      <c r="E3" s="232"/>
      <c r="F3" s="232"/>
    </row>
    <row r="4" spans="1:6" ht="15" x14ac:dyDescent="0.25">
      <c r="A4" s="232" t="s">
        <v>602</v>
      </c>
      <c r="B4" s="232"/>
      <c r="C4" s="232"/>
      <c r="D4" s="232"/>
      <c r="E4" s="232"/>
      <c r="F4" s="232"/>
    </row>
    <row r="5" spans="1:6" ht="15" x14ac:dyDescent="0.25">
      <c r="A5" s="232" t="s">
        <v>603</v>
      </c>
      <c r="B5" s="232"/>
      <c r="C5" s="232"/>
      <c r="D5" s="232"/>
      <c r="E5" s="232"/>
      <c r="F5" s="232"/>
    </row>
    <row r="6" spans="1:6" ht="15" x14ac:dyDescent="0.25">
      <c r="A6" s="232" t="s">
        <v>610</v>
      </c>
      <c r="B6" s="232"/>
      <c r="C6" s="232"/>
      <c r="D6" s="232"/>
      <c r="E6" s="232"/>
      <c r="F6" s="232"/>
    </row>
    <row r="7" spans="1:6" ht="15" x14ac:dyDescent="0.25">
      <c r="A7" s="232" t="s">
        <v>604</v>
      </c>
      <c r="B7" s="232"/>
      <c r="C7" s="232"/>
      <c r="D7" s="232"/>
      <c r="E7" s="232"/>
      <c r="F7" s="232"/>
    </row>
    <row r="10" spans="1:6" ht="15" x14ac:dyDescent="0.25">
      <c r="A10" s="232" t="s">
        <v>315</v>
      </c>
      <c r="B10" s="232"/>
      <c r="C10" s="232"/>
      <c r="D10" s="232"/>
      <c r="E10" s="232"/>
      <c r="F10" s="232"/>
    </row>
    <row r="11" spans="1:6" ht="15" x14ac:dyDescent="0.25">
      <c r="A11" s="232" t="s">
        <v>608</v>
      </c>
      <c r="B11" s="232"/>
      <c r="C11" s="232"/>
      <c r="D11" s="232"/>
      <c r="E11" s="232"/>
      <c r="F11" s="232"/>
    </row>
    <row r="12" spans="1:6" ht="15" x14ac:dyDescent="0.25">
      <c r="A12" s="232" t="s">
        <v>605</v>
      </c>
      <c r="B12" s="232"/>
      <c r="C12" s="232"/>
      <c r="D12" s="232"/>
      <c r="E12" s="232"/>
      <c r="F12" s="232"/>
    </row>
    <row r="13" spans="1:6" ht="15" x14ac:dyDescent="0.25">
      <c r="A13" s="232" t="s">
        <v>606</v>
      </c>
      <c r="B13" s="232"/>
      <c r="C13" s="232"/>
      <c r="D13" s="232"/>
      <c r="E13" s="232"/>
      <c r="F13" s="232"/>
    </row>
    <row r="14" spans="1:6" ht="15" x14ac:dyDescent="0.25">
      <c r="A14" s="232" t="s">
        <v>607</v>
      </c>
      <c r="B14" s="232"/>
      <c r="C14" s="232"/>
      <c r="D14" s="232"/>
      <c r="E14" s="232"/>
      <c r="F14" s="232"/>
    </row>
    <row r="17" spans="1:6" ht="12.75" customHeight="1" x14ac:dyDescent="0.2">
      <c r="A17" s="248" t="s">
        <v>709</v>
      </c>
      <c r="B17" s="248"/>
      <c r="C17" s="248"/>
      <c r="D17" s="248"/>
      <c r="E17" s="248"/>
      <c r="F17" s="248"/>
    </row>
    <row r="18" spans="1:6" x14ac:dyDescent="0.2">
      <c r="A18" s="248"/>
      <c r="B18" s="248"/>
      <c r="C18" s="248"/>
      <c r="D18" s="248"/>
      <c r="E18" s="248"/>
      <c r="F18" s="248"/>
    </row>
    <row r="19" spans="1:6" ht="14.25" x14ac:dyDescent="0.2">
      <c r="A19" s="249" t="s">
        <v>828</v>
      </c>
      <c r="B19" s="249"/>
      <c r="C19" s="249"/>
      <c r="D19" s="249"/>
      <c r="E19" s="249"/>
      <c r="F19" s="249"/>
    </row>
    <row r="20" spans="1:6" x14ac:dyDescent="0.2">
      <c r="A20" s="247" t="s">
        <v>802</v>
      </c>
      <c r="B20" s="247"/>
      <c r="C20" s="247"/>
      <c r="D20" s="247"/>
      <c r="E20" s="247"/>
      <c r="F20" s="247"/>
    </row>
    <row r="21" spans="1:6" ht="38.25" x14ac:dyDescent="0.2">
      <c r="A21" s="11" t="s">
        <v>252</v>
      </c>
      <c r="B21" s="12" t="s">
        <v>739</v>
      </c>
      <c r="C21" s="12" t="s">
        <v>145</v>
      </c>
      <c r="D21" s="12" t="s">
        <v>144</v>
      </c>
      <c r="E21" s="12" t="s">
        <v>254</v>
      </c>
      <c r="F21" s="69" t="s">
        <v>738</v>
      </c>
    </row>
    <row r="22" spans="1:6" s="13" customFormat="1" ht="15.75" x14ac:dyDescent="0.2">
      <c r="A22" s="175" t="s">
        <v>740</v>
      </c>
      <c r="B22" s="176"/>
      <c r="C22" s="177"/>
      <c r="D22" s="177"/>
      <c r="E22" s="178"/>
      <c r="F22" s="179">
        <f>F23+F98+F104+F195+F269+F295+F301+F420+F517+F622+F768+F802+F809+F825+F899</f>
        <v>5317425.0162800001</v>
      </c>
    </row>
    <row r="23" spans="1:6" s="151" customFormat="1" ht="27" x14ac:dyDescent="0.2">
      <c r="A23" s="152" t="s">
        <v>551</v>
      </c>
      <c r="B23" s="153" t="s">
        <v>386</v>
      </c>
      <c r="C23" s="154"/>
      <c r="D23" s="154"/>
      <c r="E23" s="155"/>
      <c r="F23" s="156">
        <f>F24+F30+F71+F82</f>
        <v>18315</v>
      </c>
    </row>
    <row r="24" spans="1:6" s="151" customFormat="1" ht="40.5" x14ac:dyDescent="0.2">
      <c r="A24" s="98" t="s">
        <v>337</v>
      </c>
      <c r="B24" s="93" t="s">
        <v>338</v>
      </c>
      <c r="C24" s="53"/>
      <c r="D24" s="53"/>
      <c r="E24" s="58"/>
      <c r="F24" s="57">
        <f>F25</f>
        <v>3500</v>
      </c>
    </row>
    <row r="25" spans="1:6" s="151" customFormat="1" ht="24" x14ac:dyDescent="0.2">
      <c r="A25" s="75" t="s">
        <v>339</v>
      </c>
      <c r="B25" s="43" t="s">
        <v>279</v>
      </c>
      <c r="C25" s="24"/>
      <c r="D25" s="24"/>
      <c r="E25" s="37"/>
      <c r="F25" s="117">
        <f>F26</f>
        <v>3500</v>
      </c>
    </row>
    <row r="26" spans="1:6" s="151" customFormat="1" ht="12" x14ac:dyDescent="0.2">
      <c r="A26" s="74" t="s">
        <v>256</v>
      </c>
      <c r="B26" s="43" t="s">
        <v>279</v>
      </c>
      <c r="C26" s="24" t="s">
        <v>214</v>
      </c>
      <c r="D26" s="24"/>
      <c r="E26" s="37"/>
      <c r="F26" s="117">
        <f>F27</f>
        <v>3500</v>
      </c>
    </row>
    <row r="27" spans="1:6" s="151" customFormat="1" ht="12" x14ac:dyDescent="0.2">
      <c r="A27" s="74" t="s">
        <v>726</v>
      </c>
      <c r="B27" s="43" t="s">
        <v>279</v>
      </c>
      <c r="C27" s="24" t="s">
        <v>214</v>
      </c>
      <c r="D27" s="24" t="s">
        <v>235</v>
      </c>
      <c r="E27" s="37"/>
      <c r="F27" s="117">
        <f>F28</f>
        <v>3500</v>
      </c>
    </row>
    <row r="28" spans="1:6" s="151" customFormat="1" ht="12" x14ac:dyDescent="0.2">
      <c r="A28" s="84" t="s">
        <v>473</v>
      </c>
      <c r="B28" s="40" t="s">
        <v>279</v>
      </c>
      <c r="C28" s="30" t="s">
        <v>214</v>
      </c>
      <c r="D28" s="30" t="s">
        <v>235</v>
      </c>
      <c r="E28" s="31">
        <v>200</v>
      </c>
      <c r="F28" s="118">
        <f>F29</f>
        <v>3500</v>
      </c>
    </row>
    <row r="29" spans="1:6" s="151" customFormat="1" ht="24" x14ac:dyDescent="0.2">
      <c r="A29" s="84" t="s">
        <v>227</v>
      </c>
      <c r="B29" s="40" t="s">
        <v>279</v>
      </c>
      <c r="C29" s="30" t="s">
        <v>214</v>
      </c>
      <c r="D29" s="30" t="s">
        <v>235</v>
      </c>
      <c r="E29" s="31">
        <v>240</v>
      </c>
      <c r="F29" s="118">
        <f>2000+1500</f>
        <v>3500</v>
      </c>
    </row>
    <row r="30" spans="1:6" s="151" customFormat="1" ht="27" x14ac:dyDescent="0.2">
      <c r="A30" s="98" t="s">
        <v>181</v>
      </c>
      <c r="B30" s="93" t="s">
        <v>420</v>
      </c>
      <c r="C30" s="53"/>
      <c r="D30" s="53"/>
      <c r="E30" s="58"/>
      <c r="F30" s="57">
        <f>F31+F36+F41+F46+F51+F56+F61+F66</f>
        <v>4566</v>
      </c>
    </row>
    <row r="31" spans="1:6" s="151" customFormat="1" ht="24" x14ac:dyDescent="0.2">
      <c r="A31" s="75" t="s">
        <v>154</v>
      </c>
      <c r="B31" s="43" t="s">
        <v>182</v>
      </c>
      <c r="C31" s="24"/>
      <c r="D31" s="24"/>
      <c r="E31" s="37"/>
      <c r="F31" s="42">
        <f>F32</f>
        <v>146</v>
      </c>
    </row>
    <row r="32" spans="1:6" s="151" customFormat="1" ht="12" x14ac:dyDescent="0.2">
      <c r="A32" s="74" t="s">
        <v>256</v>
      </c>
      <c r="B32" s="43" t="s">
        <v>182</v>
      </c>
      <c r="C32" s="24" t="s">
        <v>214</v>
      </c>
      <c r="D32" s="24"/>
      <c r="E32" s="37"/>
      <c r="F32" s="42">
        <f>F33</f>
        <v>146</v>
      </c>
    </row>
    <row r="33" spans="1:6" s="151" customFormat="1" ht="12" x14ac:dyDescent="0.2">
      <c r="A33" s="74" t="s">
        <v>726</v>
      </c>
      <c r="B33" s="43" t="s">
        <v>182</v>
      </c>
      <c r="C33" s="24" t="s">
        <v>214</v>
      </c>
      <c r="D33" s="24" t="s">
        <v>235</v>
      </c>
      <c r="E33" s="37"/>
      <c r="F33" s="42">
        <f>F34</f>
        <v>146</v>
      </c>
    </row>
    <row r="34" spans="1:6" s="151" customFormat="1" ht="12" x14ac:dyDescent="0.2">
      <c r="A34" s="84" t="s">
        <v>473</v>
      </c>
      <c r="B34" s="40" t="s">
        <v>182</v>
      </c>
      <c r="C34" s="30" t="s">
        <v>214</v>
      </c>
      <c r="D34" s="30" t="s">
        <v>235</v>
      </c>
      <c r="E34" s="31">
        <v>200</v>
      </c>
      <c r="F34" s="41">
        <f>F35</f>
        <v>146</v>
      </c>
    </row>
    <row r="35" spans="1:6" s="151" customFormat="1" ht="24" x14ac:dyDescent="0.2">
      <c r="A35" s="84" t="s">
        <v>227</v>
      </c>
      <c r="B35" s="40" t="s">
        <v>182</v>
      </c>
      <c r="C35" s="30" t="s">
        <v>214</v>
      </c>
      <c r="D35" s="30" t="s">
        <v>235</v>
      </c>
      <c r="E35" s="31">
        <v>240</v>
      </c>
      <c r="F35" s="41">
        <f>1928-1782</f>
        <v>146</v>
      </c>
    </row>
    <row r="36" spans="1:6" s="151" customFormat="1" ht="24" x14ac:dyDescent="0.2">
      <c r="A36" s="75" t="s">
        <v>155</v>
      </c>
      <c r="B36" s="43" t="s">
        <v>183</v>
      </c>
      <c r="C36" s="24"/>
      <c r="D36" s="24"/>
      <c r="E36" s="31"/>
      <c r="F36" s="42">
        <f>F37</f>
        <v>420</v>
      </c>
    </row>
    <row r="37" spans="1:6" s="151" customFormat="1" ht="12" x14ac:dyDescent="0.2">
      <c r="A37" s="74" t="s">
        <v>256</v>
      </c>
      <c r="B37" s="43" t="s">
        <v>183</v>
      </c>
      <c r="C37" s="24" t="s">
        <v>214</v>
      </c>
      <c r="D37" s="24"/>
      <c r="E37" s="31"/>
      <c r="F37" s="42">
        <f>F38</f>
        <v>420</v>
      </c>
    </row>
    <row r="38" spans="1:6" s="151" customFormat="1" ht="12" x14ac:dyDescent="0.2">
      <c r="A38" s="74" t="s">
        <v>726</v>
      </c>
      <c r="B38" s="43" t="s">
        <v>183</v>
      </c>
      <c r="C38" s="24" t="s">
        <v>214</v>
      </c>
      <c r="D38" s="24" t="s">
        <v>235</v>
      </c>
      <c r="E38" s="31"/>
      <c r="F38" s="42">
        <f>F39</f>
        <v>420</v>
      </c>
    </row>
    <row r="39" spans="1:6" s="151" customFormat="1" ht="12" x14ac:dyDescent="0.2">
      <c r="A39" s="84" t="s">
        <v>473</v>
      </c>
      <c r="B39" s="40" t="s">
        <v>183</v>
      </c>
      <c r="C39" s="30" t="s">
        <v>214</v>
      </c>
      <c r="D39" s="30" t="s">
        <v>235</v>
      </c>
      <c r="E39" s="31">
        <v>200</v>
      </c>
      <c r="F39" s="41">
        <f>F40</f>
        <v>420</v>
      </c>
    </row>
    <row r="40" spans="1:6" s="151" customFormat="1" ht="24" x14ac:dyDescent="0.2">
      <c r="A40" s="84" t="s">
        <v>227</v>
      </c>
      <c r="B40" s="40" t="s">
        <v>183</v>
      </c>
      <c r="C40" s="30" t="s">
        <v>214</v>
      </c>
      <c r="D40" s="30" t="s">
        <v>235</v>
      </c>
      <c r="E40" s="31">
        <v>240</v>
      </c>
      <c r="F40" s="41">
        <f>340+80</f>
        <v>420</v>
      </c>
    </row>
    <row r="41" spans="1:6" s="151" customFormat="1" ht="36" x14ac:dyDescent="0.2">
      <c r="A41" s="75" t="s">
        <v>156</v>
      </c>
      <c r="B41" s="43" t="s">
        <v>184</v>
      </c>
      <c r="C41" s="24"/>
      <c r="D41" s="24"/>
      <c r="E41" s="31"/>
      <c r="F41" s="42">
        <f>F42</f>
        <v>500</v>
      </c>
    </row>
    <row r="42" spans="1:6" s="151" customFormat="1" ht="12" x14ac:dyDescent="0.2">
      <c r="A42" s="74" t="s">
        <v>256</v>
      </c>
      <c r="B42" s="43" t="s">
        <v>184</v>
      </c>
      <c r="C42" s="24" t="s">
        <v>214</v>
      </c>
      <c r="D42" s="24"/>
      <c r="E42" s="31"/>
      <c r="F42" s="42">
        <f>F43</f>
        <v>500</v>
      </c>
    </row>
    <row r="43" spans="1:6" s="151" customFormat="1" ht="12" x14ac:dyDescent="0.2">
      <c r="A43" s="74" t="s">
        <v>726</v>
      </c>
      <c r="B43" s="43" t="s">
        <v>184</v>
      </c>
      <c r="C43" s="24" t="s">
        <v>214</v>
      </c>
      <c r="D43" s="24" t="s">
        <v>235</v>
      </c>
      <c r="E43" s="31"/>
      <c r="F43" s="42">
        <f>F44</f>
        <v>500</v>
      </c>
    </row>
    <row r="44" spans="1:6" s="151" customFormat="1" ht="12" x14ac:dyDescent="0.2">
      <c r="A44" s="84" t="s">
        <v>473</v>
      </c>
      <c r="B44" s="40" t="s">
        <v>184</v>
      </c>
      <c r="C44" s="30" t="s">
        <v>214</v>
      </c>
      <c r="D44" s="30" t="s">
        <v>235</v>
      </c>
      <c r="E44" s="31">
        <v>200</v>
      </c>
      <c r="F44" s="41">
        <f>F45</f>
        <v>500</v>
      </c>
    </row>
    <row r="45" spans="1:6" s="151" customFormat="1" ht="24" x14ac:dyDescent="0.2">
      <c r="A45" s="84" t="s">
        <v>227</v>
      </c>
      <c r="B45" s="40" t="s">
        <v>184</v>
      </c>
      <c r="C45" s="30" t="s">
        <v>214</v>
      </c>
      <c r="D45" s="30" t="s">
        <v>235</v>
      </c>
      <c r="E45" s="31">
        <v>240</v>
      </c>
      <c r="F45" s="41">
        <f>385+115</f>
        <v>500</v>
      </c>
    </row>
    <row r="46" spans="1:6" s="151" customFormat="1" ht="12" x14ac:dyDescent="0.2">
      <c r="A46" s="75" t="s">
        <v>157</v>
      </c>
      <c r="B46" s="43" t="s">
        <v>185</v>
      </c>
      <c r="C46" s="24"/>
      <c r="D46" s="24"/>
      <c r="E46" s="31"/>
      <c r="F46" s="42">
        <f>F47</f>
        <v>320</v>
      </c>
    </row>
    <row r="47" spans="1:6" s="151" customFormat="1" ht="12" x14ac:dyDescent="0.2">
      <c r="A47" s="74" t="s">
        <v>256</v>
      </c>
      <c r="B47" s="43" t="s">
        <v>185</v>
      </c>
      <c r="C47" s="24" t="s">
        <v>214</v>
      </c>
      <c r="D47" s="24"/>
      <c r="E47" s="31"/>
      <c r="F47" s="42">
        <f>F48</f>
        <v>320</v>
      </c>
    </row>
    <row r="48" spans="1:6" s="151" customFormat="1" ht="12" x14ac:dyDescent="0.2">
      <c r="A48" s="74" t="s">
        <v>726</v>
      </c>
      <c r="B48" s="43" t="s">
        <v>185</v>
      </c>
      <c r="C48" s="24" t="s">
        <v>214</v>
      </c>
      <c r="D48" s="24" t="s">
        <v>235</v>
      </c>
      <c r="E48" s="31"/>
      <c r="F48" s="42">
        <f>F49</f>
        <v>320</v>
      </c>
    </row>
    <row r="49" spans="1:6" s="151" customFormat="1" ht="12" x14ac:dyDescent="0.2">
      <c r="A49" s="84" t="s">
        <v>473</v>
      </c>
      <c r="B49" s="40" t="s">
        <v>185</v>
      </c>
      <c r="C49" s="30" t="s">
        <v>214</v>
      </c>
      <c r="D49" s="30" t="s">
        <v>235</v>
      </c>
      <c r="E49" s="31">
        <v>200</v>
      </c>
      <c r="F49" s="41">
        <f>F50</f>
        <v>320</v>
      </c>
    </row>
    <row r="50" spans="1:6" s="151" customFormat="1" ht="24" x14ac:dyDescent="0.2">
      <c r="A50" s="84" t="s">
        <v>227</v>
      </c>
      <c r="B50" s="40" t="s">
        <v>185</v>
      </c>
      <c r="C50" s="30" t="s">
        <v>214</v>
      </c>
      <c r="D50" s="30" t="s">
        <v>235</v>
      </c>
      <c r="E50" s="31">
        <v>240</v>
      </c>
      <c r="F50" s="41">
        <v>320</v>
      </c>
    </row>
    <row r="51" spans="1:6" s="151" customFormat="1" ht="24" x14ac:dyDescent="0.2">
      <c r="A51" s="75" t="s">
        <v>158</v>
      </c>
      <c r="B51" s="43" t="s">
        <v>186</v>
      </c>
      <c r="C51" s="24" t="s">
        <v>214</v>
      </c>
      <c r="D51" s="24" t="s">
        <v>235</v>
      </c>
      <c r="E51" s="31"/>
      <c r="F51" s="42">
        <f>F52</f>
        <v>823</v>
      </c>
    </row>
    <row r="52" spans="1:6" s="151" customFormat="1" ht="12" x14ac:dyDescent="0.2">
      <c r="A52" s="74" t="s">
        <v>256</v>
      </c>
      <c r="B52" s="43" t="s">
        <v>186</v>
      </c>
      <c r="C52" s="24" t="s">
        <v>214</v>
      </c>
      <c r="D52" s="24"/>
      <c r="E52" s="31"/>
      <c r="F52" s="42">
        <f>F53</f>
        <v>823</v>
      </c>
    </row>
    <row r="53" spans="1:6" s="151" customFormat="1" ht="12" x14ac:dyDescent="0.2">
      <c r="A53" s="74" t="s">
        <v>726</v>
      </c>
      <c r="B53" s="43" t="s">
        <v>186</v>
      </c>
      <c r="C53" s="24" t="s">
        <v>214</v>
      </c>
      <c r="D53" s="24" t="s">
        <v>235</v>
      </c>
      <c r="E53" s="31"/>
      <c r="F53" s="42">
        <f>F54</f>
        <v>823</v>
      </c>
    </row>
    <row r="54" spans="1:6" s="151" customFormat="1" ht="12" x14ac:dyDescent="0.2">
      <c r="A54" s="84" t="s">
        <v>473</v>
      </c>
      <c r="B54" s="40" t="s">
        <v>186</v>
      </c>
      <c r="C54" s="30" t="s">
        <v>214</v>
      </c>
      <c r="D54" s="30" t="s">
        <v>235</v>
      </c>
      <c r="E54" s="31">
        <v>200</v>
      </c>
      <c r="F54" s="41">
        <f>F55</f>
        <v>823</v>
      </c>
    </row>
    <row r="55" spans="1:6" s="151" customFormat="1" ht="24" x14ac:dyDescent="0.2">
      <c r="A55" s="84" t="s">
        <v>227</v>
      </c>
      <c r="B55" s="40" t="s">
        <v>186</v>
      </c>
      <c r="C55" s="30" t="s">
        <v>214</v>
      </c>
      <c r="D55" s="30" t="s">
        <v>235</v>
      </c>
      <c r="E55" s="31">
        <v>240</v>
      </c>
      <c r="F55" s="41">
        <v>823</v>
      </c>
    </row>
    <row r="56" spans="1:6" s="151" customFormat="1" ht="12" x14ac:dyDescent="0.2">
      <c r="A56" s="75" t="s">
        <v>424</v>
      </c>
      <c r="B56" s="43" t="s">
        <v>187</v>
      </c>
      <c r="C56" s="24"/>
      <c r="D56" s="24"/>
      <c r="E56" s="31"/>
      <c r="F56" s="42">
        <f>F57</f>
        <v>1017</v>
      </c>
    </row>
    <row r="57" spans="1:6" s="151" customFormat="1" ht="12" x14ac:dyDescent="0.2">
      <c r="A57" s="74" t="s">
        <v>256</v>
      </c>
      <c r="B57" s="43" t="s">
        <v>187</v>
      </c>
      <c r="C57" s="24" t="s">
        <v>214</v>
      </c>
      <c r="D57" s="24"/>
      <c r="E57" s="31"/>
      <c r="F57" s="42">
        <f>F58</f>
        <v>1017</v>
      </c>
    </row>
    <row r="58" spans="1:6" s="151" customFormat="1" ht="12" x14ac:dyDescent="0.2">
      <c r="A58" s="74" t="s">
        <v>726</v>
      </c>
      <c r="B58" s="43" t="s">
        <v>187</v>
      </c>
      <c r="C58" s="24" t="s">
        <v>214</v>
      </c>
      <c r="D58" s="24" t="s">
        <v>235</v>
      </c>
      <c r="E58" s="31"/>
      <c r="F58" s="42">
        <f>F59</f>
        <v>1017</v>
      </c>
    </row>
    <row r="59" spans="1:6" s="151" customFormat="1" ht="12" x14ac:dyDescent="0.2">
      <c r="A59" s="84" t="s">
        <v>473</v>
      </c>
      <c r="B59" s="40" t="s">
        <v>187</v>
      </c>
      <c r="C59" s="30" t="s">
        <v>214</v>
      </c>
      <c r="D59" s="30" t="s">
        <v>235</v>
      </c>
      <c r="E59" s="31">
        <v>200</v>
      </c>
      <c r="F59" s="41">
        <f>F60</f>
        <v>1017</v>
      </c>
    </row>
    <row r="60" spans="1:6" s="151" customFormat="1" ht="24" x14ac:dyDescent="0.2">
      <c r="A60" s="84" t="s">
        <v>227</v>
      </c>
      <c r="B60" s="40" t="s">
        <v>187</v>
      </c>
      <c r="C60" s="30" t="s">
        <v>214</v>
      </c>
      <c r="D60" s="30" t="s">
        <v>235</v>
      </c>
      <c r="E60" s="31">
        <v>240</v>
      </c>
      <c r="F60" s="41">
        <v>1017</v>
      </c>
    </row>
    <row r="61" spans="1:6" s="151" customFormat="1" ht="12" x14ac:dyDescent="0.2">
      <c r="A61" s="80" t="s">
        <v>159</v>
      </c>
      <c r="B61" s="43" t="s">
        <v>188</v>
      </c>
      <c r="C61" s="24"/>
      <c r="D61" s="24"/>
      <c r="E61" s="31"/>
      <c r="F61" s="42">
        <f>F62</f>
        <v>1210</v>
      </c>
    </row>
    <row r="62" spans="1:6" s="151" customFormat="1" ht="12" x14ac:dyDescent="0.2">
      <c r="A62" s="74" t="s">
        <v>256</v>
      </c>
      <c r="B62" s="43" t="s">
        <v>188</v>
      </c>
      <c r="C62" s="24" t="s">
        <v>214</v>
      </c>
      <c r="D62" s="24"/>
      <c r="E62" s="31"/>
      <c r="F62" s="42">
        <f>F63</f>
        <v>1210</v>
      </c>
    </row>
    <row r="63" spans="1:6" s="151" customFormat="1" ht="12" x14ac:dyDescent="0.2">
      <c r="A63" s="74" t="s">
        <v>726</v>
      </c>
      <c r="B63" s="43" t="s">
        <v>188</v>
      </c>
      <c r="C63" s="24" t="s">
        <v>214</v>
      </c>
      <c r="D63" s="24" t="s">
        <v>235</v>
      </c>
      <c r="E63" s="31"/>
      <c r="F63" s="42">
        <f>F64</f>
        <v>1210</v>
      </c>
    </row>
    <row r="64" spans="1:6" s="151" customFormat="1" ht="12" x14ac:dyDescent="0.2">
      <c r="A64" s="84" t="s">
        <v>473</v>
      </c>
      <c r="B64" s="40" t="s">
        <v>188</v>
      </c>
      <c r="C64" s="30" t="s">
        <v>214</v>
      </c>
      <c r="D64" s="30" t="s">
        <v>235</v>
      </c>
      <c r="E64" s="31">
        <v>200</v>
      </c>
      <c r="F64" s="41">
        <f>F65</f>
        <v>1210</v>
      </c>
    </row>
    <row r="65" spans="1:6" s="151" customFormat="1" ht="24" x14ac:dyDescent="0.2">
      <c r="A65" s="84" t="s">
        <v>227</v>
      </c>
      <c r="B65" s="40" t="s">
        <v>188</v>
      </c>
      <c r="C65" s="30" t="s">
        <v>214</v>
      </c>
      <c r="D65" s="30" t="s">
        <v>235</v>
      </c>
      <c r="E65" s="31">
        <v>240</v>
      </c>
      <c r="F65" s="41">
        <v>1210</v>
      </c>
    </row>
    <row r="66" spans="1:6" s="151" customFormat="1" ht="24" x14ac:dyDescent="0.2">
      <c r="A66" s="80" t="s">
        <v>421</v>
      </c>
      <c r="B66" s="43" t="s">
        <v>189</v>
      </c>
      <c r="C66" s="24"/>
      <c r="D66" s="24"/>
      <c r="E66" s="31"/>
      <c r="F66" s="42">
        <f>F67</f>
        <v>130</v>
      </c>
    </row>
    <row r="67" spans="1:6" s="151" customFormat="1" ht="12" x14ac:dyDescent="0.2">
      <c r="A67" s="74" t="s">
        <v>256</v>
      </c>
      <c r="B67" s="43" t="s">
        <v>189</v>
      </c>
      <c r="C67" s="24" t="s">
        <v>214</v>
      </c>
      <c r="D67" s="24"/>
      <c r="E67" s="31"/>
      <c r="F67" s="42">
        <f>F68</f>
        <v>130</v>
      </c>
    </row>
    <row r="68" spans="1:6" s="151" customFormat="1" ht="12" x14ac:dyDescent="0.2">
      <c r="A68" s="74" t="s">
        <v>726</v>
      </c>
      <c r="B68" s="43" t="s">
        <v>189</v>
      </c>
      <c r="C68" s="24" t="s">
        <v>214</v>
      </c>
      <c r="D68" s="24" t="s">
        <v>235</v>
      </c>
      <c r="E68" s="31"/>
      <c r="F68" s="42">
        <f>F69</f>
        <v>130</v>
      </c>
    </row>
    <row r="69" spans="1:6" s="151" customFormat="1" ht="12" x14ac:dyDescent="0.2">
      <c r="A69" s="84" t="s">
        <v>473</v>
      </c>
      <c r="B69" s="40" t="s">
        <v>189</v>
      </c>
      <c r="C69" s="30" t="s">
        <v>214</v>
      </c>
      <c r="D69" s="30" t="s">
        <v>235</v>
      </c>
      <c r="E69" s="31">
        <v>200</v>
      </c>
      <c r="F69" s="41">
        <f>F70</f>
        <v>130</v>
      </c>
    </row>
    <row r="70" spans="1:6" s="151" customFormat="1" ht="24" x14ac:dyDescent="0.2">
      <c r="A70" s="84" t="s">
        <v>227</v>
      </c>
      <c r="B70" s="40" t="s">
        <v>189</v>
      </c>
      <c r="C70" s="30" t="s">
        <v>214</v>
      </c>
      <c r="D70" s="30" t="s">
        <v>235</v>
      </c>
      <c r="E70" s="31">
        <v>240</v>
      </c>
      <c r="F70" s="41">
        <v>130</v>
      </c>
    </row>
    <row r="71" spans="1:6" s="151" customFormat="1" ht="13.5" x14ac:dyDescent="0.2">
      <c r="A71" s="86" t="s">
        <v>160</v>
      </c>
      <c r="B71" s="93" t="s">
        <v>161</v>
      </c>
      <c r="C71" s="53"/>
      <c r="D71" s="53"/>
      <c r="E71" s="58"/>
      <c r="F71" s="57">
        <f>F72+F77</f>
        <v>1584</v>
      </c>
    </row>
    <row r="72" spans="1:6" s="151" customFormat="1" ht="12" x14ac:dyDescent="0.2">
      <c r="A72" s="80" t="s">
        <v>422</v>
      </c>
      <c r="B72" s="24" t="s">
        <v>190</v>
      </c>
      <c r="C72" s="24"/>
      <c r="D72" s="24"/>
      <c r="E72" s="37"/>
      <c r="F72" s="42">
        <f>F73</f>
        <v>204</v>
      </c>
    </row>
    <row r="73" spans="1:6" s="151" customFormat="1" ht="12" x14ac:dyDescent="0.2">
      <c r="A73" s="74" t="s">
        <v>256</v>
      </c>
      <c r="B73" s="24" t="s">
        <v>190</v>
      </c>
      <c r="C73" s="24" t="s">
        <v>214</v>
      </c>
      <c r="D73" s="24"/>
      <c r="E73" s="37"/>
      <c r="F73" s="42">
        <f>F74</f>
        <v>204</v>
      </c>
    </row>
    <row r="74" spans="1:6" s="151" customFormat="1" ht="12" x14ac:dyDescent="0.2">
      <c r="A74" s="74" t="s">
        <v>726</v>
      </c>
      <c r="B74" s="24" t="s">
        <v>190</v>
      </c>
      <c r="C74" s="24" t="s">
        <v>214</v>
      </c>
      <c r="D74" s="24" t="s">
        <v>235</v>
      </c>
      <c r="E74" s="37"/>
      <c r="F74" s="42">
        <f>F75</f>
        <v>204</v>
      </c>
    </row>
    <row r="75" spans="1:6" s="151" customFormat="1" ht="12" x14ac:dyDescent="0.2">
      <c r="A75" s="84" t="s">
        <v>473</v>
      </c>
      <c r="B75" s="40" t="s">
        <v>190</v>
      </c>
      <c r="C75" s="30" t="s">
        <v>214</v>
      </c>
      <c r="D75" s="30" t="s">
        <v>235</v>
      </c>
      <c r="E75" s="31">
        <v>200</v>
      </c>
      <c r="F75" s="41">
        <f>F76</f>
        <v>204</v>
      </c>
    </row>
    <row r="76" spans="1:6" s="151" customFormat="1" ht="24" x14ac:dyDescent="0.2">
      <c r="A76" s="84" t="s">
        <v>227</v>
      </c>
      <c r="B76" s="40" t="s">
        <v>190</v>
      </c>
      <c r="C76" s="30" t="s">
        <v>214</v>
      </c>
      <c r="D76" s="30" t="s">
        <v>235</v>
      </c>
      <c r="E76" s="31">
        <v>240</v>
      </c>
      <c r="F76" s="41">
        <f>367-163</f>
        <v>204</v>
      </c>
    </row>
    <row r="77" spans="1:6" s="151" customFormat="1" ht="14.25" customHeight="1" x14ac:dyDescent="0.2">
      <c r="A77" s="75" t="s">
        <v>162</v>
      </c>
      <c r="B77" s="24" t="s">
        <v>191</v>
      </c>
      <c r="C77" s="24"/>
      <c r="D77" s="24"/>
      <c r="E77" s="37"/>
      <c r="F77" s="42">
        <f>F78</f>
        <v>1380</v>
      </c>
    </row>
    <row r="78" spans="1:6" s="151" customFormat="1" ht="12" x14ac:dyDescent="0.2">
      <c r="A78" s="74" t="s">
        <v>256</v>
      </c>
      <c r="B78" s="43" t="s">
        <v>191</v>
      </c>
      <c r="C78" s="24" t="s">
        <v>214</v>
      </c>
      <c r="D78" s="24"/>
      <c r="E78" s="37"/>
      <c r="F78" s="42">
        <f>F79</f>
        <v>1380</v>
      </c>
    </row>
    <row r="79" spans="1:6" s="151" customFormat="1" ht="12" x14ac:dyDescent="0.2">
      <c r="A79" s="74" t="s">
        <v>726</v>
      </c>
      <c r="B79" s="43" t="s">
        <v>191</v>
      </c>
      <c r="C79" s="24" t="s">
        <v>214</v>
      </c>
      <c r="D79" s="24" t="s">
        <v>235</v>
      </c>
      <c r="E79" s="37"/>
      <c r="F79" s="42">
        <f>F80</f>
        <v>1380</v>
      </c>
    </row>
    <row r="80" spans="1:6" s="151" customFormat="1" ht="12" x14ac:dyDescent="0.2">
      <c r="A80" s="84" t="s">
        <v>473</v>
      </c>
      <c r="B80" s="40" t="s">
        <v>191</v>
      </c>
      <c r="C80" s="30" t="s">
        <v>214</v>
      </c>
      <c r="D80" s="30" t="s">
        <v>235</v>
      </c>
      <c r="E80" s="31">
        <v>200</v>
      </c>
      <c r="F80" s="41">
        <f>F81</f>
        <v>1380</v>
      </c>
    </row>
    <row r="81" spans="1:6" s="151" customFormat="1" ht="24" x14ac:dyDescent="0.2">
      <c r="A81" s="84" t="s">
        <v>227</v>
      </c>
      <c r="B81" s="40" t="s">
        <v>191</v>
      </c>
      <c r="C81" s="30" t="s">
        <v>214</v>
      </c>
      <c r="D81" s="30" t="s">
        <v>235</v>
      </c>
      <c r="E81" s="31">
        <v>240</v>
      </c>
      <c r="F81" s="41">
        <f>480+900</f>
        <v>1380</v>
      </c>
    </row>
    <row r="82" spans="1:6" s="151" customFormat="1" ht="27" x14ac:dyDescent="0.2">
      <c r="A82" s="86" t="s">
        <v>781</v>
      </c>
      <c r="B82" s="93" t="s">
        <v>780</v>
      </c>
      <c r="C82" s="53"/>
      <c r="D82" s="53"/>
      <c r="E82" s="58"/>
      <c r="F82" s="57">
        <f>F83+F88+F93</f>
        <v>8665</v>
      </c>
    </row>
    <row r="83" spans="1:6" s="151" customFormat="1" ht="24" x14ac:dyDescent="0.2">
      <c r="A83" s="80" t="s">
        <v>782</v>
      </c>
      <c r="B83" s="43" t="s">
        <v>783</v>
      </c>
      <c r="C83" s="24"/>
      <c r="D83" s="24"/>
      <c r="E83" s="37"/>
      <c r="F83" s="42">
        <f>F84</f>
        <v>80</v>
      </c>
    </row>
    <row r="84" spans="1:6" s="151" customFormat="1" ht="12" x14ac:dyDescent="0.2">
      <c r="A84" s="74" t="s">
        <v>256</v>
      </c>
      <c r="B84" s="24" t="s">
        <v>783</v>
      </c>
      <c r="C84" s="24" t="s">
        <v>214</v>
      </c>
      <c r="D84" s="24"/>
      <c r="E84" s="37"/>
      <c r="F84" s="42">
        <f>F85</f>
        <v>80</v>
      </c>
    </row>
    <row r="85" spans="1:6" s="151" customFormat="1" ht="12" x14ac:dyDescent="0.2">
      <c r="A85" s="74" t="s">
        <v>726</v>
      </c>
      <c r="B85" s="24" t="s">
        <v>783</v>
      </c>
      <c r="C85" s="24" t="s">
        <v>214</v>
      </c>
      <c r="D85" s="24" t="s">
        <v>235</v>
      </c>
      <c r="E85" s="37"/>
      <c r="F85" s="42">
        <f>F86</f>
        <v>80</v>
      </c>
    </row>
    <row r="86" spans="1:6" s="151" customFormat="1" ht="12" x14ac:dyDescent="0.2">
      <c r="A86" s="84" t="s">
        <v>473</v>
      </c>
      <c r="B86" s="40" t="s">
        <v>783</v>
      </c>
      <c r="C86" s="30" t="s">
        <v>214</v>
      </c>
      <c r="D86" s="30" t="s">
        <v>235</v>
      </c>
      <c r="E86" s="31">
        <v>200</v>
      </c>
      <c r="F86" s="41">
        <f>F87</f>
        <v>80</v>
      </c>
    </row>
    <row r="87" spans="1:6" s="151" customFormat="1" ht="24" x14ac:dyDescent="0.2">
      <c r="A87" s="84" t="s">
        <v>227</v>
      </c>
      <c r="B87" s="40" t="s">
        <v>783</v>
      </c>
      <c r="C87" s="30" t="s">
        <v>214</v>
      </c>
      <c r="D87" s="30" t="s">
        <v>235</v>
      </c>
      <c r="E87" s="31">
        <v>240</v>
      </c>
      <c r="F87" s="41">
        <v>80</v>
      </c>
    </row>
    <row r="88" spans="1:6" s="151" customFormat="1" ht="24" x14ac:dyDescent="0.2">
      <c r="A88" s="80" t="s">
        <v>784</v>
      </c>
      <c r="B88" s="43" t="s">
        <v>785</v>
      </c>
      <c r="C88" s="24"/>
      <c r="D88" s="24"/>
      <c r="E88" s="37"/>
      <c r="F88" s="42">
        <f>F89</f>
        <v>4165</v>
      </c>
    </row>
    <row r="89" spans="1:6" s="151" customFormat="1" ht="12" x14ac:dyDescent="0.2">
      <c r="A89" s="74" t="s">
        <v>256</v>
      </c>
      <c r="B89" s="24" t="s">
        <v>785</v>
      </c>
      <c r="C89" s="24" t="s">
        <v>214</v>
      </c>
      <c r="D89" s="24"/>
      <c r="E89" s="37"/>
      <c r="F89" s="42">
        <f>F90</f>
        <v>4165</v>
      </c>
    </row>
    <row r="90" spans="1:6" s="151" customFormat="1" ht="12" x14ac:dyDescent="0.2">
      <c r="A90" s="74" t="s">
        <v>726</v>
      </c>
      <c r="B90" s="24" t="s">
        <v>785</v>
      </c>
      <c r="C90" s="24" t="s">
        <v>214</v>
      </c>
      <c r="D90" s="24" t="s">
        <v>235</v>
      </c>
      <c r="E90" s="37"/>
      <c r="F90" s="42">
        <f>F91</f>
        <v>4165</v>
      </c>
    </row>
    <row r="91" spans="1:6" s="151" customFormat="1" ht="12" x14ac:dyDescent="0.2">
      <c r="A91" s="84" t="s">
        <v>473</v>
      </c>
      <c r="B91" s="40" t="s">
        <v>785</v>
      </c>
      <c r="C91" s="30" t="s">
        <v>214</v>
      </c>
      <c r="D91" s="30" t="s">
        <v>235</v>
      </c>
      <c r="E91" s="31">
        <v>200</v>
      </c>
      <c r="F91" s="41">
        <f>F92</f>
        <v>4165</v>
      </c>
    </row>
    <row r="92" spans="1:6" s="151" customFormat="1" ht="24" x14ac:dyDescent="0.2">
      <c r="A92" s="84" t="s">
        <v>227</v>
      </c>
      <c r="B92" s="40" t="s">
        <v>785</v>
      </c>
      <c r="C92" s="30" t="s">
        <v>214</v>
      </c>
      <c r="D92" s="30" t="s">
        <v>235</v>
      </c>
      <c r="E92" s="31">
        <v>240</v>
      </c>
      <c r="F92" s="41">
        <v>4165</v>
      </c>
    </row>
    <row r="93" spans="1:6" s="151" customFormat="1" ht="24" x14ac:dyDescent="0.2">
      <c r="A93" s="80" t="s">
        <v>786</v>
      </c>
      <c r="B93" s="43" t="s">
        <v>787</v>
      </c>
      <c r="C93" s="24"/>
      <c r="D93" s="24"/>
      <c r="E93" s="37"/>
      <c r="F93" s="42">
        <f>F94</f>
        <v>4420</v>
      </c>
    </row>
    <row r="94" spans="1:6" s="151" customFormat="1" ht="12" x14ac:dyDescent="0.2">
      <c r="A94" s="74" t="s">
        <v>256</v>
      </c>
      <c r="B94" s="24" t="s">
        <v>787</v>
      </c>
      <c r="C94" s="24" t="s">
        <v>214</v>
      </c>
      <c r="D94" s="24"/>
      <c r="E94" s="37"/>
      <c r="F94" s="42">
        <f>F95</f>
        <v>4420</v>
      </c>
    </row>
    <row r="95" spans="1:6" s="151" customFormat="1" ht="12" x14ac:dyDescent="0.2">
      <c r="A95" s="74" t="s">
        <v>726</v>
      </c>
      <c r="B95" s="24" t="s">
        <v>787</v>
      </c>
      <c r="C95" s="24" t="s">
        <v>214</v>
      </c>
      <c r="D95" s="24" t="s">
        <v>235</v>
      </c>
      <c r="E95" s="37"/>
      <c r="F95" s="42">
        <f>F96</f>
        <v>4420</v>
      </c>
    </row>
    <row r="96" spans="1:6" s="151" customFormat="1" ht="12" x14ac:dyDescent="0.2">
      <c r="A96" s="84" t="s">
        <v>473</v>
      </c>
      <c r="B96" s="40" t="s">
        <v>787</v>
      </c>
      <c r="C96" s="30" t="s">
        <v>214</v>
      </c>
      <c r="D96" s="30" t="s">
        <v>235</v>
      </c>
      <c r="E96" s="31">
        <v>200</v>
      </c>
      <c r="F96" s="41">
        <f>F97</f>
        <v>4420</v>
      </c>
    </row>
    <row r="97" spans="1:6" s="151" customFormat="1" ht="24" x14ac:dyDescent="0.2">
      <c r="A97" s="84" t="s">
        <v>227</v>
      </c>
      <c r="B97" s="40" t="s">
        <v>787</v>
      </c>
      <c r="C97" s="30" t="s">
        <v>214</v>
      </c>
      <c r="D97" s="30" t="s">
        <v>235</v>
      </c>
      <c r="E97" s="31">
        <v>240</v>
      </c>
      <c r="F97" s="41">
        <f>20+4400</f>
        <v>4420</v>
      </c>
    </row>
    <row r="98" spans="1:6" s="151" customFormat="1" ht="27" x14ac:dyDescent="0.2">
      <c r="A98" s="152" t="s">
        <v>547</v>
      </c>
      <c r="B98" s="157" t="s">
        <v>426</v>
      </c>
      <c r="C98" s="154"/>
      <c r="D98" s="154"/>
      <c r="E98" s="158"/>
      <c r="F98" s="156">
        <f>F99</f>
        <v>1500</v>
      </c>
    </row>
    <row r="99" spans="1:6" s="151" customFormat="1" ht="24" x14ac:dyDescent="0.2">
      <c r="A99" s="75" t="s">
        <v>172</v>
      </c>
      <c r="B99" s="43" t="s">
        <v>40</v>
      </c>
      <c r="C99" s="24"/>
      <c r="D99" s="24"/>
      <c r="E99" s="36"/>
      <c r="F99" s="42">
        <f>F100</f>
        <v>1500</v>
      </c>
    </row>
    <row r="100" spans="1:6" s="151" customFormat="1" ht="12" x14ac:dyDescent="0.2">
      <c r="A100" s="80" t="s">
        <v>700</v>
      </c>
      <c r="B100" s="24" t="s">
        <v>40</v>
      </c>
      <c r="C100" s="24" t="s">
        <v>107</v>
      </c>
      <c r="D100" s="24"/>
      <c r="E100" s="24"/>
      <c r="F100" s="42">
        <f>F101</f>
        <v>1500</v>
      </c>
    </row>
    <row r="101" spans="1:6" s="151" customFormat="1" ht="12" x14ac:dyDescent="0.2">
      <c r="A101" s="80" t="s">
        <v>687</v>
      </c>
      <c r="B101" s="24" t="s">
        <v>40</v>
      </c>
      <c r="C101" s="24" t="s">
        <v>107</v>
      </c>
      <c r="D101" s="24" t="s">
        <v>817</v>
      </c>
      <c r="E101" s="24"/>
      <c r="F101" s="42">
        <f>F102</f>
        <v>1500</v>
      </c>
    </row>
    <row r="102" spans="1:6" s="151" customFormat="1" ht="12" x14ac:dyDescent="0.2">
      <c r="A102" s="84" t="s">
        <v>237</v>
      </c>
      <c r="B102" s="40" t="s">
        <v>40</v>
      </c>
      <c r="C102" s="30" t="s">
        <v>107</v>
      </c>
      <c r="D102" s="30" t="s">
        <v>817</v>
      </c>
      <c r="E102" s="30" t="s">
        <v>236</v>
      </c>
      <c r="F102" s="41">
        <f>F103</f>
        <v>1500</v>
      </c>
    </row>
    <row r="103" spans="1:6" s="151" customFormat="1" ht="12" x14ac:dyDescent="0.2">
      <c r="A103" s="84" t="s">
        <v>314</v>
      </c>
      <c r="B103" s="40" t="s">
        <v>40</v>
      </c>
      <c r="C103" s="30" t="s">
        <v>107</v>
      </c>
      <c r="D103" s="30" t="s">
        <v>817</v>
      </c>
      <c r="E103" s="30" t="s">
        <v>110</v>
      </c>
      <c r="F103" s="41">
        <v>1500</v>
      </c>
    </row>
    <row r="104" spans="1:6" s="159" customFormat="1" ht="27" x14ac:dyDescent="0.2">
      <c r="A104" s="152" t="s">
        <v>48</v>
      </c>
      <c r="B104" s="154" t="s">
        <v>404</v>
      </c>
      <c r="C104" s="154"/>
      <c r="D104" s="154"/>
      <c r="E104" s="154"/>
      <c r="F104" s="156">
        <f>F105+F123+F134+F179</f>
        <v>956812.65933000017</v>
      </c>
    </row>
    <row r="105" spans="1:6" s="159" customFormat="1" ht="24" x14ac:dyDescent="0.2">
      <c r="A105" s="80" t="s">
        <v>241</v>
      </c>
      <c r="B105" s="24" t="s">
        <v>405</v>
      </c>
      <c r="C105" s="24"/>
      <c r="D105" s="24"/>
      <c r="E105" s="24"/>
      <c r="F105" s="42">
        <f>F106+F111+F118</f>
        <v>5608.5</v>
      </c>
    </row>
    <row r="106" spans="1:6" s="159" customFormat="1" ht="12" x14ac:dyDescent="0.2">
      <c r="A106" s="82" t="s">
        <v>475</v>
      </c>
      <c r="B106" s="24" t="s">
        <v>525</v>
      </c>
      <c r="C106" s="24"/>
      <c r="D106" s="24"/>
      <c r="E106" s="24"/>
      <c r="F106" s="42">
        <f>F107</f>
        <v>4824.5</v>
      </c>
    </row>
    <row r="107" spans="1:6" s="159" customFormat="1" ht="12" x14ac:dyDescent="0.2">
      <c r="A107" s="76" t="s">
        <v>655</v>
      </c>
      <c r="B107" s="24" t="s">
        <v>525</v>
      </c>
      <c r="C107" s="24" t="s">
        <v>216</v>
      </c>
      <c r="D107" s="24"/>
      <c r="E107" s="24"/>
      <c r="F107" s="42">
        <f>F108</f>
        <v>4824.5</v>
      </c>
    </row>
    <row r="108" spans="1:6" s="159" customFormat="1" ht="12" x14ac:dyDescent="0.2">
      <c r="A108" s="75" t="s">
        <v>666</v>
      </c>
      <c r="B108" s="24" t="s">
        <v>525</v>
      </c>
      <c r="C108" s="24" t="s">
        <v>216</v>
      </c>
      <c r="D108" s="24" t="s">
        <v>822</v>
      </c>
      <c r="E108" s="24"/>
      <c r="F108" s="42">
        <f>F109</f>
        <v>4824.5</v>
      </c>
    </row>
    <row r="109" spans="1:6" s="159" customFormat="1" ht="36" x14ac:dyDescent="0.2">
      <c r="A109" s="84" t="s">
        <v>217</v>
      </c>
      <c r="B109" s="30" t="s">
        <v>525</v>
      </c>
      <c r="C109" s="30" t="s">
        <v>216</v>
      </c>
      <c r="D109" s="30" t="s">
        <v>822</v>
      </c>
      <c r="E109" s="30" t="s">
        <v>218</v>
      </c>
      <c r="F109" s="41">
        <f>F110</f>
        <v>4824.5</v>
      </c>
    </row>
    <row r="110" spans="1:6" s="159" customFormat="1" ht="12" x14ac:dyDescent="0.2">
      <c r="A110" s="84" t="s">
        <v>219</v>
      </c>
      <c r="B110" s="30" t="s">
        <v>525</v>
      </c>
      <c r="C110" s="30" t="s">
        <v>216</v>
      </c>
      <c r="D110" s="30" t="s">
        <v>822</v>
      </c>
      <c r="E110" s="30" t="s">
        <v>224</v>
      </c>
      <c r="F110" s="41">
        <v>4824.5</v>
      </c>
    </row>
    <row r="111" spans="1:6" s="159" customFormat="1" ht="12" x14ac:dyDescent="0.2">
      <c r="A111" s="80" t="s">
        <v>225</v>
      </c>
      <c r="B111" s="24" t="s">
        <v>526</v>
      </c>
      <c r="C111" s="24"/>
      <c r="D111" s="24"/>
      <c r="E111" s="24"/>
      <c r="F111" s="42">
        <f>F112</f>
        <v>190</v>
      </c>
    </row>
    <row r="112" spans="1:6" s="159" customFormat="1" ht="12" x14ac:dyDescent="0.2">
      <c r="A112" s="76" t="s">
        <v>655</v>
      </c>
      <c r="B112" s="24" t="s">
        <v>526</v>
      </c>
      <c r="C112" s="24" t="s">
        <v>216</v>
      </c>
      <c r="D112" s="24"/>
      <c r="E112" s="24"/>
      <c r="F112" s="42">
        <f>F113</f>
        <v>190</v>
      </c>
    </row>
    <row r="113" spans="1:6" s="159" customFormat="1" ht="12" x14ac:dyDescent="0.2">
      <c r="A113" s="75" t="s">
        <v>666</v>
      </c>
      <c r="B113" s="24" t="s">
        <v>526</v>
      </c>
      <c r="C113" s="24" t="s">
        <v>216</v>
      </c>
      <c r="D113" s="24" t="s">
        <v>822</v>
      </c>
      <c r="E113" s="24"/>
      <c r="F113" s="42">
        <f>F114+F116</f>
        <v>190</v>
      </c>
    </row>
    <row r="114" spans="1:6" s="159" customFormat="1" ht="12" x14ac:dyDescent="0.2">
      <c r="A114" s="84" t="s">
        <v>473</v>
      </c>
      <c r="B114" s="30" t="s">
        <v>526</v>
      </c>
      <c r="C114" s="30" t="s">
        <v>216</v>
      </c>
      <c r="D114" s="30" t="s">
        <v>822</v>
      </c>
      <c r="E114" s="30" t="s">
        <v>226</v>
      </c>
      <c r="F114" s="41">
        <f>F115</f>
        <v>187</v>
      </c>
    </row>
    <row r="115" spans="1:6" s="159" customFormat="1" ht="24" x14ac:dyDescent="0.2">
      <c r="A115" s="84" t="s">
        <v>227</v>
      </c>
      <c r="B115" s="30" t="s">
        <v>526</v>
      </c>
      <c r="C115" s="30" t="s">
        <v>216</v>
      </c>
      <c r="D115" s="30" t="s">
        <v>822</v>
      </c>
      <c r="E115" s="30" t="s">
        <v>228</v>
      </c>
      <c r="F115" s="41">
        <v>187</v>
      </c>
    </row>
    <row r="116" spans="1:6" s="159" customFormat="1" ht="12" x14ac:dyDescent="0.2">
      <c r="A116" s="84" t="s">
        <v>229</v>
      </c>
      <c r="B116" s="30" t="s">
        <v>526</v>
      </c>
      <c r="C116" s="30" t="s">
        <v>216</v>
      </c>
      <c r="D116" s="30" t="s">
        <v>822</v>
      </c>
      <c r="E116" s="30" t="s">
        <v>230</v>
      </c>
      <c r="F116" s="41">
        <f>F117</f>
        <v>3</v>
      </c>
    </row>
    <row r="117" spans="1:6" s="159" customFormat="1" ht="12" x14ac:dyDescent="0.2">
      <c r="A117" s="84" t="s">
        <v>311</v>
      </c>
      <c r="B117" s="30" t="s">
        <v>526</v>
      </c>
      <c r="C117" s="30" t="s">
        <v>216</v>
      </c>
      <c r="D117" s="30" t="s">
        <v>822</v>
      </c>
      <c r="E117" s="30" t="s">
        <v>231</v>
      </c>
      <c r="F117" s="41">
        <v>3</v>
      </c>
    </row>
    <row r="118" spans="1:6" s="159" customFormat="1" ht="12" x14ac:dyDescent="0.2">
      <c r="A118" s="80" t="s">
        <v>396</v>
      </c>
      <c r="B118" s="24" t="s">
        <v>51</v>
      </c>
      <c r="C118" s="24"/>
      <c r="D118" s="24"/>
      <c r="E118" s="24"/>
      <c r="F118" s="42">
        <f>F119</f>
        <v>594</v>
      </c>
    </row>
    <row r="119" spans="1:6" s="159" customFormat="1" ht="12" x14ac:dyDescent="0.2">
      <c r="A119" s="61" t="s">
        <v>655</v>
      </c>
      <c r="B119" s="24" t="s">
        <v>51</v>
      </c>
      <c r="C119" s="24" t="s">
        <v>216</v>
      </c>
      <c r="D119" s="24"/>
      <c r="E119" s="24"/>
      <c r="F119" s="42">
        <f>F120</f>
        <v>594</v>
      </c>
    </row>
    <row r="120" spans="1:6" s="159" customFormat="1" ht="12" x14ac:dyDescent="0.2">
      <c r="A120" s="61" t="s">
        <v>690</v>
      </c>
      <c r="B120" s="24" t="s">
        <v>51</v>
      </c>
      <c r="C120" s="24" t="s">
        <v>216</v>
      </c>
      <c r="D120" s="24" t="s">
        <v>818</v>
      </c>
      <c r="E120" s="24"/>
      <c r="F120" s="42">
        <f>F121</f>
        <v>594</v>
      </c>
    </row>
    <row r="121" spans="1:6" s="159" customFormat="1" ht="12" x14ac:dyDescent="0.2">
      <c r="A121" s="84" t="s">
        <v>473</v>
      </c>
      <c r="B121" s="30" t="s">
        <v>51</v>
      </c>
      <c r="C121" s="30" t="s">
        <v>216</v>
      </c>
      <c r="D121" s="30" t="s">
        <v>818</v>
      </c>
      <c r="E121" s="30" t="s">
        <v>226</v>
      </c>
      <c r="F121" s="41">
        <f>F122</f>
        <v>594</v>
      </c>
    </row>
    <row r="122" spans="1:6" s="159" customFormat="1" ht="24" x14ac:dyDescent="0.2">
      <c r="A122" s="84" t="s">
        <v>227</v>
      </c>
      <c r="B122" s="30" t="s">
        <v>51</v>
      </c>
      <c r="C122" s="30" t="s">
        <v>216</v>
      </c>
      <c r="D122" s="30" t="s">
        <v>818</v>
      </c>
      <c r="E122" s="30" t="s">
        <v>228</v>
      </c>
      <c r="F122" s="41">
        <v>594</v>
      </c>
    </row>
    <row r="123" spans="1:6" s="159" customFormat="1" ht="12" x14ac:dyDescent="0.2">
      <c r="A123" s="75" t="s">
        <v>527</v>
      </c>
      <c r="B123" s="43" t="s">
        <v>528</v>
      </c>
      <c r="C123" s="24"/>
      <c r="D123" s="24"/>
      <c r="E123" s="25"/>
      <c r="F123" s="42">
        <f>F124+F129</f>
        <v>60200</v>
      </c>
    </row>
    <row r="124" spans="1:6" s="159" customFormat="1" ht="36" x14ac:dyDescent="0.2">
      <c r="A124" s="75" t="s">
        <v>529</v>
      </c>
      <c r="B124" s="43" t="s">
        <v>49</v>
      </c>
      <c r="C124" s="24"/>
      <c r="D124" s="24"/>
      <c r="E124" s="24"/>
      <c r="F124" s="42">
        <f>F125</f>
        <v>60000</v>
      </c>
    </row>
    <row r="125" spans="1:6" s="159" customFormat="1" ht="12" x14ac:dyDescent="0.2">
      <c r="A125" s="76" t="s">
        <v>655</v>
      </c>
      <c r="B125" s="43" t="s">
        <v>49</v>
      </c>
      <c r="C125" s="24" t="s">
        <v>216</v>
      </c>
      <c r="D125" s="24"/>
      <c r="E125" s="25"/>
      <c r="F125" s="42">
        <f>F126</f>
        <v>60000</v>
      </c>
    </row>
    <row r="126" spans="1:6" s="159" customFormat="1" ht="12" x14ac:dyDescent="0.2">
      <c r="A126" s="75" t="s">
        <v>666</v>
      </c>
      <c r="B126" s="43" t="s">
        <v>49</v>
      </c>
      <c r="C126" s="24" t="s">
        <v>216</v>
      </c>
      <c r="D126" s="24" t="s">
        <v>822</v>
      </c>
      <c r="E126" s="25"/>
      <c r="F126" s="42">
        <f>F127</f>
        <v>60000</v>
      </c>
    </row>
    <row r="127" spans="1:6" s="159" customFormat="1" ht="12" x14ac:dyDescent="0.2">
      <c r="A127" s="84" t="s">
        <v>229</v>
      </c>
      <c r="B127" s="40" t="s">
        <v>49</v>
      </c>
      <c r="C127" s="30" t="s">
        <v>216</v>
      </c>
      <c r="D127" s="30" t="s">
        <v>822</v>
      </c>
      <c r="E127" s="30" t="s">
        <v>230</v>
      </c>
      <c r="F127" s="41">
        <f>F128</f>
        <v>60000</v>
      </c>
    </row>
    <row r="128" spans="1:6" s="159" customFormat="1" ht="24" x14ac:dyDescent="0.2">
      <c r="A128" s="84" t="s">
        <v>105</v>
      </c>
      <c r="B128" s="40" t="s">
        <v>49</v>
      </c>
      <c r="C128" s="30" t="s">
        <v>216</v>
      </c>
      <c r="D128" s="30" t="s">
        <v>822</v>
      </c>
      <c r="E128" s="30" t="s">
        <v>729</v>
      </c>
      <c r="F128" s="41">
        <v>60000</v>
      </c>
    </row>
    <row r="129" spans="1:6" s="159" customFormat="1" ht="48" x14ac:dyDescent="0.2">
      <c r="A129" s="80" t="s">
        <v>150</v>
      </c>
      <c r="B129" s="43" t="s">
        <v>530</v>
      </c>
      <c r="C129" s="24"/>
      <c r="D129" s="24"/>
      <c r="E129" s="24"/>
      <c r="F129" s="42">
        <f>F130</f>
        <v>200</v>
      </c>
    </row>
    <row r="130" spans="1:6" s="159" customFormat="1" ht="12" x14ac:dyDescent="0.2">
      <c r="A130" s="76" t="s">
        <v>655</v>
      </c>
      <c r="B130" s="43" t="s">
        <v>530</v>
      </c>
      <c r="C130" s="24" t="s">
        <v>216</v>
      </c>
      <c r="D130" s="24"/>
      <c r="E130" s="25"/>
      <c r="F130" s="42">
        <f>F131</f>
        <v>200</v>
      </c>
    </row>
    <row r="131" spans="1:6" s="159" customFormat="1" ht="12" x14ac:dyDescent="0.2">
      <c r="A131" s="75" t="s">
        <v>666</v>
      </c>
      <c r="B131" s="43" t="s">
        <v>530</v>
      </c>
      <c r="C131" s="24" t="s">
        <v>216</v>
      </c>
      <c r="D131" s="24" t="s">
        <v>822</v>
      </c>
      <c r="E131" s="25"/>
      <c r="F131" s="42">
        <f>F132</f>
        <v>200</v>
      </c>
    </row>
    <row r="132" spans="1:6" s="159" customFormat="1" ht="12" x14ac:dyDescent="0.2">
      <c r="A132" s="84" t="s">
        <v>322</v>
      </c>
      <c r="B132" s="40" t="s">
        <v>530</v>
      </c>
      <c r="C132" s="30" t="s">
        <v>216</v>
      </c>
      <c r="D132" s="30" t="s">
        <v>822</v>
      </c>
      <c r="E132" s="30" t="s">
        <v>226</v>
      </c>
      <c r="F132" s="41">
        <f>F133</f>
        <v>200</v>
      </c>
    </row>
    <row r="133" spans="1:6" s="159" customFormat="1" ht="24" x14ac:dyDescent="0.2">
      <c r="A133" s="84" t="s">
        <v>227</v>
      </c>
      <c r="B133" s="40" t="s">
        <v>530</v>
      </c>
      <c r="C133" s="30" t="s">
        <v>216</v>
      </c>
      <c r="D133" s="30" t="s">
        <v>822</v>
      </c>
      <c r="E133" s="30" t="s">
        <v>228</v>
      </c>
      <c r="F133" s="41">
        <f>700-500</f>
        <v>200</v>
      </c>
    </row>
    <row r="134" spans="1:6" s="159" customFormat="1" ht="24" x14ac:dyDescent="0.2">
      <c r="A134" s="75" t="s">
        <v>531</v>
      </c>
      <c r="B134" s="43" t="s">
        <v>532</v>
      </c>
      <c r="C134" s="24"/>
      <c r="D134" s="24"/>
      <c r="E134" s="24"/>
      <c r="F134" s="42">
        <f>F135+F140+F145+F152+F174+F159+F164+F169</f>
        <v>872085.85933000012</v>
      </c>
    </row>
    <row r="135" spans="1:6" s="159" customFormat="1" ht="12" x14ac:dyDescent="0.2">
      <c r="A135" s="80" t="s">
        <v>396</v>
      </c>
      <c r="B135" s="24" t="s">
        <v>52</v>
      </c>
      <c r="C135" s="24"/>
      <c r="D135" s="24"/>
      <c r="E135" s="24"/>
      <c r="F135" s="42">
        <f>F136</f>
        <v>67833.5</v>
      </c>
    </row>
    <row r="136" spans="1:6" s="159" customFormat="1" ht="12" x14ac:dyDescent="0.2">
      <c r="A136" s="61" t="s">
        <v>655</v>
      </c>
      <c r="B136" s="24" t="s">
        <v>52</v>
      </c>
      <c r="C136" s="24" t="s">
        <v>216</v>
      </c>
      <c r="D136" s="24"/>
      <c r="E136" s="24"/>
      <c r="F136" s="42">
        <f>F137</f>
        <v>67833.5</v>
      </c>
    </row>
    <row r="137" spans="1:6" s="159" customFormat="1" ht="12" x14ac:dyDescent="0.2">
      <c r="A137" s="61" t="s">
        <v>690</v>
      </c>
      <c r="B137" s="24" t="s">
        <v>52</v>
      </c>
      <c r="C137" s="24" t="s">
        <v>216</v>
      </c>
      <c r="D137" s="24" t="s">
        <v>818</v>
      </c>
      <c r="E137" s="24"/>
      <c r="F137" s="42">
        <f>F138</f>
        <v>67833.5</v>
      </c>
    </row>
    <row r="138" spans="1:6" s="159" customFormat="1" ht="12" x14ac:dyDescent="0.2">
      <c r="A138" s="84" t="s">
        <v>473</v>
      </c>
      <c r="B138" s="30" t="s">
        <v>52</v>
      </c>
      <c r="C138" s="30" t="s">
        <v>216</v>
      </c>
      <c r="D138" s="30" t="s">
        <v>818</v>
      </c>
      <c r="E138" s="30" t="s">
        <v>226</v>
      </c>
      <c r="F138" s="41">
        <f>F139</f>
        <v>67833.5</v>
      </c>
    </row>
    <row r="139" spans="1:6" s="159" customFormat="1" ht="24" x14ac:dyDescent="0.2">
      <c r="A139" s="84" t="s">
        <v>227</v>
      </c>
      <c r="B139" s="30" t="s">
        <v>52</v>
      </c>
      <c r="C139" s="30" t="s">
        <v>216</v>
      </c>
      <c r="D139" s="30" t="s">
        <v>818</v>
      </c>
      <c r="E139" s="30" t="s">
        <v>228</v>
      </c>
      <c r="F139" s="41">
        <f>80000.5-10000-2167</f>
        <v>67833.5</v>
      </c>
    </row>
    <row r="140" spans="1:6" s="159" customFormat="1" ht="36" x14ac:dyDescent="0.2">
      <c r="A140" s="80" t="s">
        <v>407</v>
      </c>
      <c r="B140" s="24" t="s">
        <v>50</v>
      </c>
      <c r="C140" s="30"/>
      <c r="D140" s="30"/>
      <c r="E140" s="24"/>
      <c r="F140" s="42">
        <f>F141</f>
        <v>19252.359329999999</v>
      </c>
    </row>
    <row r="141" spans="1:6" s="159" customFormat="1" ht="12" x14ac:dyDescent="0.2">
      <c r="A141" s="61" t="s">
        <v>655</v>
      </c>
      <c r="B141" s="24" t="s">
        <v>50</v>
      </c>
      <c r="C141" s="24" t="s">
        <v>216</v>
      </c>
      <c r="D141" s="24"/>
      <c r="E141" s="24"/>
      <c r="F141" s="42">
        <f>F142</f>
        <v>19252.359329999999</v>
      </c>
    </row>
    <row r="142" spans="1:6" s="159" customFormat="1" ht="12" x14ac:dyDescent="0.2">
      <c r="A142" s="61" t="s">
        <v>690</v>
      </c>
      <c r="B142" s="24" t="s">
        <v>50</v>
      </c>
      <c r="C142" s="24" t="s">
        <v>216</v>
      </c>
      <c r="D142" s="24" t="s">
        <v>818</v>
      </c>
      <c r="E142" s="24"/>
      <c r="F142" s="42">
        <f>F143</f>
        <v>19252.359329999999</v>
      </c>
    </row>
    <row r="143" spans="1:6" s="159" customFormat="1" ht="12" x14ac:dyDescent="0.2">
      <c r="A143" s="84" t="s">
        <v>473</v>
      </c>
      <c r="B143" s="30" t="s">
        <v>50</v>
      </c>
      <c r="C143" s="30" t="s">
        <v>216</v>
      </c>
      <c r="D143" s="30" t="s">
        <v>818</v>
      </c>
      <c r="E143" s="30" t="s">
        <v>226</v>
      </c>
      <c r="F143" s="41">
        <f>F144</f>
        <v>19252.359329999999</v>
      </c>
    </row>
    <row r="144" spans="1:6" s="159" customFormat="1" ht="24" x14ac:dyDescent="0.2">
      <c r="A144" s="84" t="s">
        <v>227</v>
      </c>
      <c r="B144" s="30" t="s">
        <v>50</v>
      </c>
      <c r="C144" s="30" t="s">
        <v>216</v>
      </c>
      <c r="D144" s="30" t="s">
        <v>818</v>
      </c>
      <c r="E144" s="30" t="s">
        <v>228</v>
      </c>
      <c r="F144" s="41">
        <f>16929+2323.35933</f>
        <v>19252.359329999999</v>
      </c>
    </row>
    <row r="145" spans="1:6" s="159" customFormat="1" ht="36" x14ac:dyDescent="0.2">
      <c r="A145" s="80" t="s">
        <v>170</v>
      </c>
      <c r="B145" s="24" t="s">
        <v>165</v>
      </c>
      <c r="C145" s="24"/>
      <c r="D145" s="24"/>
      <c r="E145" s="24"/>
      <c r="F145" s="117">
        <f>F146</f>
        <v>231292.7</v>
      </c>
    </row>
    <row r="146" spans="1:6" s="159" customFormat="1" ht="12" x14ac:dyDescent="0.2">
      <c r="A146" s="61" t="s">
        <v>655</v>
      </c>
      <c r="B146" s="24" t="s">
        <v>165</v>
      </c>
      <c r="C146" s="24" t="s">
        <v>216</v>
      </c>
      <c r="D146" s="24"/>
      <c r="E146" s="25"/>
      <c r="F146" s="117">
        <f>F147</f>
        <v>231292.7</v>
      </c>
    </row>
    <row r="147" spans="1:6" s="159" customFormat="1" ht="12" x14ac:dyDescent="0.2">
      <c r="A147" s="61" t="s">
        <v>690</v>
      </c>
      <c r="B147" s="24" t="s">
        <v>165</v>
      </c>
      <c r="C147" s="24" t="s">
        <v>216</v>
      </c>
      <c r="D147" s="24" t="s">
        <v>818</v>
      </c>
      <c r="E147" s="25"/>
      <c r="F147" s="117">
        <f>F148+F150</f>
        <v>231292.7</v>
      </c>
    </row>
    <row r="148" spans="1:6" s="159" customFormat="1" ht="12" x14ac:dyDescent="0.2">
      <c r="A148" s="84" t="s">
        <v>322</v>
      </c>
      <c r="B148" s="30" t="s">
        <v>165</v>
      </c>
      <c r="C148" s="30" t="s">
        <v>216</v>
      </c>
      <c r="D148" s="30" t="s">
        <v>818</v>
      </c>
      <c r="E148" s="30" t="s">
        <v>226</v>
      </c>
      <c r="F148" s="118">
        <f>F149</f>
        <v>216900.31400000001</v>
      </c>
    </row>
    <row r="149" spans="1:6" s="159" customFormat="1" ht="24" x14ac:dyDescent="0.2">
      <c r="A149" s="84" t="s">
        <v>227</v>
      </c>
      <c r="B149" s="30" t="s">
        <v>165</v>
      </c>
      <c r="C149" s="30" t="s">
        <v>216</v>
      </c>
      <c r="D149" s="30" t="s">
        <v>818</v>
      </c>
      <c r="E149" s="30" t="s">
        <v>228</v>
      </c>
      <c r="F149" s="118">
        <f>134196.9+97095.8-14392.386</f>
        <v>216900.31400000001</v>
      </c>
    </row>
    <row r="150" spans="1:6" s="159" customFormat="1" ht="12" x14ac:dyDescent="0.2">
      <c r="A150" s="84" t="s">
        <v>394</v>
      </c>
      <c r="B150" s="30" t="s">
        <v>165</v>
      </c>
      <c r="C150" s="30" t="s">
        <v>216</v>
      </c>
      <c r="D150" s="30" t="s">
        <v>818</v>
      </c>
      <c r="E150" s="30" t="s">
        <v>733</v>
      </c>
      <c r="F150" s="118">
        <f>F151</f>
        <v>14392.386</v>
      </c>
    </row>
    <row r="151" spans="1:6" s="159" customFormat="1" ht="12" x14ac:dyDescent="0.2">
      <c r="A151" s="84" t="s">
        <v>734</v>
      </c>
      <c r="B151" s="30" t="s">
        <v>165</v>
      </c>
      <c r="C151" s="30" t="s">
        <v>216</v>
      </c>
      <c r="D151" s="30" t="s">
        <v>818</v>
      </c>
      <c r="E151" s="30" t="s">
        <v>735</v>
      </c>
      <c r="F151" s="118">
        <v>14392.386</v>
      </c>
    </row>
    <row r="152" spans="1:6" s="159" customFormat="1" ht="36" x14ac:dyDescent="0.2">
      <c r="A152" s="80" t="s">
        <v>408</v>
      </c>
      <c r="B152" s="24" t="s">
        <v>166</v>
      </c>
      <c r="C152" s="24"/>
      <c r="D152" s="24"/>
      <c r="E152" s="24"/>
      <c r="F152" s="42">
        <f>F153</f>
        <v>25000</v>
      </c>
    </row>
    <row r="153" spans="1:6" s="159" customFormat="1" ht="12" x14ac:dyDescent="0.2">
      <c r="A153" s="61" t="s">
        <v>655</v>
      </c>
      <c r="B153" s="24" t="s">
        <v>166</v>
      </c>
      <c r="C153" s="24" t="s">
        <v>216</v>
      </c>
      <c r="D153" s="24"/>
      <c r="E153" s="25"/>
      <c r="F153" s="42">
        <f>F154</f>
        <v>25000</v>
      </c>
    </row>
    <row r="154" spans="1:6" s="159" customFormat="1" ht="12" x14ac:dyDescent="0.2">
      <c r="A154" s="61" t="s">
        <v>690</v>
      </c>
      <c r="B154" s="24" t="s">
        <v>166</v>
      </c>
      <c r="C154" s="24" t="s">
        <v>216</v>
      </c>
      <c r="D154" s="24" t="s">
        <v>818</v>
      </c>
      <c r="E154" s="25"/>
      <c r="F154" s="42">
        <f>F155+F157</f>
        <v>25000</v>
      </c>
    </row>
    <row r="155" spans="1:6" s="159" customFormat="1" ht="12" x14ac:dyDescent="0.2">
      <c r="A155" s="84" t="s">
        <v>473</v>
      </c>
      <c r="B155" s="30" t="s">
        <v>166</v>
      </c>
      <c r="C155" s="30" t="s">
        <v>216</v>
      </c>
      <c r="D155" s="30" t="s">
        <v>818</v>
      </c>
      <c r="E155" s="30" t="s">
        <v>226</v>
      </c>
      <c r="F155" s="41">
        <f>F156</f>
        <v>24242.506000000001</v>
      </c>
    </row>
    <row r="156" spans="1:6" s="159" customFormat="1" ht="24" x14ac:dyDescent="0.2">
      <c r="A156" s="84" t="s">
        <v>227</v>
      </c>
      <c r="B156" s="30" t="s">
        <v>166</v>
      </c>
      <c r="C156" s="30" t="s">
        <v>216</v>
      </c>
      <c r="D156" s="30" t="s">
        <v>818</v>
      </c>
      <c r="E156" s="30" t="s">
        <v>228</v>
      </c>
      <c r="F156" s="41">
        <f>25000-757.494</f>
        <v>24242.506000000001</v>
      </c>
    </row>
    <row r="157" spans="1:6" s="159" customFormat="1" ht="12" x14ac:dyDescent="0.2">
      <c r="A157" s="84" t="s">
        <v>394</v>
      </c>
      <c r="B157" s="30" t="s">
        <v>166</v>
      </c>
      <c r="C157" s="30" t="s">
        <v>216</v>
      </c>
      <c r="D157" s="30" t="s">
        <v>818</v>
      </c>
      <c r="E157" s="30" t="s">
        <v>733</v>
      </c>
      <c r="F157" s="41">
        <f>F158</f>
        <v>757.49400000000003</v>
      </c>
    </row>
    <row r="158" spans="1:6" s="159" customFormat="1" ht="12" x14ac:dyDescent="0.2">
      <c r="A158" s="84" t="s">
        <v>734</v>
      </c>
      <c r="B158" s="30" t="s">
        <v>166</v>
      </c>
      <c r="C158" s="30" t="s">
        <v>216</v>
      </c>
      <c r="D158" s="30" t="s">
        <v>818</v>
      </c>
      <c r="E158" s="30" t="s">
        <v>735</v>
      </c>
      <c r="F158" s="41">
        <v>757.49400000000003</v>
      </c>
    </row>
    <row r="159" spans="1:6" s="159" customFormat="1" ht="42" customHeight="1" x14ac:dyDescent="0.2">
      <c r="A159" s="80" t="s">
        <v>22</v>
      </c>
      <c r="B159" s="24" t="s">
        <v>20</v>
      </c>
      <c r="C159" s="24"/>
      <c r="D159" s="24"/>
      <c r="E159" s="24"/>
      <c r="F159" s="42">
        <f>F160</f>
        <v>400000</v>
      </c>
    </row>
    <row r="160" spans="1:6" s="159" customFormat="1" ht="12" x14ac:dyDescent="0.2">
      <c r="A160" s="61" t="s">
        <v>655</v>
      </c>
      <c r="B160" s="24" t="s">
        <v>20</v>
      </c>
      <c r="C160" s="24" t="s">
        <v>216</v>
      </c>
      <c r="D160" s="24"/>
      <c r="E160" s="24"/>
      <c r="F160" s="42">
        <f>F161</f>
        <v>400000</v>
      </c>
    </row>
    <row r="161" spans="1:6" s="159" customFormat="1" ht="12" x14ac:dyDescent="0.2">
      <c r="A161" s="61" t="s">
        <v>690</v>
      </c>
      <c r="B161" s="24" t="s">
        <v>20</v>
      </c>
      <c r="C161" s="24" t="s">
        <v>490</v>
      </c>
      <c r="D161" s="24" t="s">
        <v>818</v>
      </c>
      <c r="E161" s="24"/>
      <c r="F161" s="42">
        <f>F162</f>
        <v>400000</v>
      </c>
    </row>
    <row r="162" spans="1:6" s="159" customFormat="1" ht="12" x14ac:dyDescent="0.2">
      <c r="A162" s="84" t="s">
        <v>473</v>
      </c>
      <c r="B162" s="30" t="s">
        <v>20</v>
      </c>
      <c r="C162" s="30" t="s">
        <v>216</v>
      </c>
      <c r="D162" s="30" t="s">
        <v>818</v>
      </c>
      <c r="E162" s="30" t="s">
        <v>226</v>
      </c>
      <c r="F162" s="41">
        <f>F163</f>
        <v>400000</v>
      </c>
    </row>
    <row r="163" spans="1:6" s="159" customFormat="1" ht="24" x14ac:dyDescent="0.2">
      <c r="A163" s="84" t="s">
        <v>227</v>
      </c>
      <c r="B163" s="30" t="s">
        <v>20</v>
      </c>
      <c r="C163" s="30" t="s">
        <v>216</v>
      </c>
      <c r="D163" s="30" t="s">
        <v>818</v>
      </c>
      <c r="E163" s="30" t="s">
        <v>228</v>
      </c>
      <c r="F163" s="41">
        <f>400000</f>
        <v>400000</v>
      </c>
    </row>
    <row r="164" spans="1:6" s="159" customFormat="1" ht="24" x14ac:dyDescent="0.2">
      <c r="A164" s="80" t="s">
        <v>23</v>
      </c>
      <c r="B164" s="24" t="s">
        <v>24</v>
      </c>
      <c r="C164" s="24"/>
      <c r="D164" s="24"/>
      <c r="E164" s="24"/>
      <c r="F164" s="42">
        <f>F165</f>
        <v>115635</v>
      </c>
    </row>
    <row r="165" spans="1:6" s="159" customFormat="1" ht="12" x14ac:dyDescent="0.2">
      <c r="A165" s="61" t="s">
        <v>655</v>
      </c>
      <c r="B165" s="24" t="s">
        <v>24</v>
      </c>
      <c r="C165" s="24" t="s">
        <v>216</v>
      </c>
      <c r="D165" s="24"/>
      <c r="E165" s="24"/>
      <c r="F165" s="42">
        <f>F166</f>
        <v>115635</v>
      </c>
    </row>
    <row r="166" spans="1:6" s="159" customFormat="1" ht="12" x14ac:dyDescent="0.2">
      <c r="A166" s="61" t="s">
        <v>690</v>
      </c>
      <c r="B166" s="24" t="s">
        <v>24</v>
      </c>
      <c r="C166" s="24" t="s">
        <v>490</v>
      </c>
      <c r="D166" s="24" t="s">
        <v>818</v>
      </c>
      <c r="E166" s="24"/>
      <c r="F166" s="42">
        <f>F167</f>
        <v>115635</v>
      </c>
    </row>
    <row r="167" spans="1:6" s="159" customFormat="1" ht="12" x14ac:dyDescent="0.2">
      <c r="A167" s="84" t="s">
        <v>473</v>
      </c>
      <c r="B167" s="30" t="s">
        <v>24</v>
      </c>
      <c r="C167" s="30" t="s">
        <v>216</v>
      </c>
      <c r="D167" s="30" t="s">
        <v>818</v>
      </c>
      <c r="E167" s="30" t="s">
        <v>226</v>
      </c>
      <c r="F167" s="41">
        <f>F168</f>
        <v>115635</v>
      </c>
    </row>
    <row r="168" spans="1:6" s="159" customFormat="1" ht="24" x14ac:dyDescent="0.2">
      <c r="A168" s="84" t="s">
        <v>227</v>
      </c>
      <c r="B168" s="30" t="s">
        <v>24</v>
      </c>
      <c r="C168" s="30" t="s">
        <v>216</v>
      </c>
      <c r="D168" s="30" t="s">
        <v>818</v>
      </c>
      <c r="E168" s="30" t="s">
        <v>228</v>
      </c>
      <c r="F168" s="41">
        <v>115635</v>
      </c>
    </row>
    <row r="169" spans="1:6" s="159" customFormat="1" ht="48" x14ac:dyDescent="0.2">
      <c r="A169" s="61" t="s">
        <v>25</v>
      </c>
      <c r="B169" s="24" t="s">
        <v>26</v>
      </c>
      <c r="C169" s="24"/>
      <c r="D169" s="24"/>
      <c r="E169" s="24"/>
      <c r="F169" s="42">
        <f>F170</f>
        <v>3072.3</v>
      </c>
    </row>
    <row r="170" spans="1:6" s="159" customFormat="1" ht="12" x14ac:dyDescent="0.2">
      <c r="A170" s="61" t="s">
        <v>655</v>
      </c>
      <c r="B170" s="24" t="s">
        <v>26</v>
      </c>
      <c r="C170" s="24" t="s">
        <v>216</v>
      </c>
      <c r="D170" s="24"/>
      <c r="E170" s="24"/>
      <c r="F170" s="42">
        <f>F171</f>
        <v>3072.3</v>
      </c>
    </row>
    <row r="171" spans="1:6" s="159" customFormat="1" ht="12" x14ac:dyDescent="0.2">
      <c r="A171" s="61" t="s">
        <v>690</v>
      </c>
      <c r="B171" s="24" t="s">
        <v>26</v>
      </c>
      <c r="C171" s="24" t="s">
        <v>490</v>
      </c>
      <c r="D171" s="24" t="s">
        <v>818</v>
      </c>
      <c r="E171" s="24"/>
      <c r="F171" s="42">
        <f>F172</f>
        <v>3072.3</v>
      </c>
    </row>
    <row r="172" spans="1:6" s="159" customFormat="1" ht="12" x14ac:dyDescent="0.2">
      <c r="A172" s="84" t="s">
        <v>473</v>
      </c>
      <c r="B172" s="30" t="s">
        <v>26</v>
      </c>
      <c r="C172" s="30" t="s">
        <v>216</v>
      </c>
      <c r="D172" s="30" t="s">
        <v>818</v>
      </c>
      <c r="E172" s="30" t="s">
        <v>226</v>
      </c>
      <c r="F172" s="41">
        <f>F173</f>
        <v>3072.3</v>
      </c>
    </row>
    <row r="173" spans="1:6" s="159" customFormat="1" ht="24" x14ac:dyDescent="0.2">
      <c r="A173" s="84" t="s">
        <v>227</v>
      </c>
      <c r="B173" s="30" t="s">
        <v>26</v>
      </c>
      <c r="C173" s="30" t="s">
        <v>216</v>
      </c>
      <c r="D173" s="30" t="s">
        <v>818</v>
      </c>
      <c r="E173" s="30" t="s">
        <v>228</v>
      </c>
      <c r="F173" s="118">
        <f>3072.3</f>
        <v>3072.3</v>
      </c>
    </row>
    <row r="174" spans="1:6" s="159" customFormat="1" ht="12" x14ac:dyDescent="0.2">
      <c r="A174" s="80" t="s">
        <v>829</v>
      </c>
      <c r="B174" s="24" t="s">
        <v>830</v>
      </c>
      <c r="C174" s="24"/>
      <c r="D174" s="24"/>
      <c r="E174" s="24"/>
      <c r="F174" s="42">
        <f>F175</f>
        <v>10000</v>
      </c>
    </row>
    <row r="175" spans="1:6" s="159" customFormat="1" ht="12" x14ac:dyDescent="0.2">
      <c r="A175" s="61" t="s">
        <v>655</v>
      </c>
      <c r="B175" s="24" t="s">
        <v>830</v>
      </c>
      <c r="C175" s="24" t="s">
        <v>216</v>
      </c>
      <c r="D175" s="24"/>
      <c r="E175" s="24"/>
      <c r="F175" s="42">
        <f>F176</f>
        <v>10000</v>
      </c>
    </row>
    <row r="176" spans="1:6" s="159" customFormat="1" ht="12" x14ac:dyDescent="0.2">
      <c r="A176" s="61" t="s">
        <v>690</v>
      </c>
      <c r="B176" s="24" t="s">
        <v>830</v>
      </c>
      <c r="C176" s="24" t="s">
        <v>490</v>
      </c>
      <c r="D176" s="24" t="s">
        <v>818</v>
      </c>
      <c r="E176" s="24"/>
      <c r="F176" s="42">
        <f>F177</f>
        <v>10000</v>
      </c>
    </row>
    <row r="177" spans="1:6" s="159" customFormat="1" ht="12" x14ac:dyDescent="0.2">
      <c r="A177" s="84" t="s">
        <v>473</v>
      </c>
      <c r="B177" s="30" t="s">
        <v>830</v>
      </c>
      <c r="C177" s="30" t="s">
        <v>216</v>
      </c>
      <c r="D177" s="30" t="s">
        <v>818</v>
      </c>
      <c r="E177" s="30" t="s">
        <v>226</v>
      </c>
      <c r="F177" s="41">
        <f>F178</f>
        <v>10000</v>
      </c>
    </row>
    <row r="178" spans="1:6" s="159" customFormat="1" ht="24" x14ac:dyDescent="0.2">
      <c r="A178" s="84" t="s">
        <v>227</v>
      </c>
      <c r="B178" s="30" t="s">
        <v>830</v>
      </c>
      <c r="C178" s="30" t="s">
        <v>216</v>
      </c>
      <c r="D178" s="30" t="s">
        <v>818</v>
      </c>
      <c r="E178" s="30" t="s">
        <v>228</v>
      </c>
      <c r="F178" s="41">
        <v>10000</v>
      </c>
    </row>
    <row r="179" spans="1:6" s="159" customFormat="1" ht="24" x14ac:dyDescent="0.2">
      <c r="A179" s="80" t="s">
        <v>763</v>
      </c>
      <c r="B179" s="24" t="s">
        <v>524</v>
      </c>
      <c r="C179" s="24"/>
      <c r="D179" s="24"/>
      <c r="E179" s="24"/>
      <c r="F179" s="42">
        <f>F180+F190</f>
        <v>18918.3</v>
      </c>
    </row>
    <row r="180" spans="1:6" s="159" customFormat="1" ht="12" x14ac:dyDescent="0.2">
      <c r="A180" s="105" t="s">
        <v>533</v>
      </c>
      <c r="B180" s="55" t="s">
        <v>53</v>
      </c>
      <c r="C180" s="33"/>
      <c r="D180" s="33"/>
      <c r="E180" s="33"/>
      <c r="F180" s="101">
        <f>F181</f>
        <v>4182.3</v>
      </c>
    </row>
    <row r="181" spans="1:6" s="159" customFormat="1" ht="12.75" customHeight="1" x14ac:dyDescent="0.2">
      <c r="A181" s="80" t="s">
        <v>819</v>
      </c>
      <c r="B181" s="24" t="s">
        <v>53</v>
      </c>
      <c r="C181" s="24"/>
      <c r="D181" s="24"/>
      <c r="E181" s="24"/>
      <c r="F181" s="42">
        <f>F182</f>
        <v>4182.3</v>
      </c>
    </row>
    <row r="182" spans="1:6" s="159" customFormat="1" ht="12" x14ac:dyDescent="0.2">
      <c r="A182" s="61" t="s">
        <v>655</v>
      </c>
      <c r="B182" s="24" t="s">
        <v>53</v>
      </c>
      <c r="C182" s="24" t="s">
        <v>216</v>
      </c>
      <c r="D182" s="24"/>
      <c r="E182" s="25"/>
      <c r="F182" s="42">
        <f>F183</f>
        <v>4182.3</v>
      </c>
    </row>
    <row r="183" spans="1:6" s="159" customFormat="1" ht="12" x14ac:dyDescent="0.2">
      <c r="A183" s="61" t="s">
        <v>690</v>
      </c>
      <c r="B183" s="24" t="s">
        <v>53</v>
      </c>
      <c r="C183" s="24" t="s">
        <v>216</v>
      </c>
      <c r="D183" s="24" t="s">
        <v>818</v>
      </c>
      <c r="E183" s="25"/>
      <c r="F183" s="42">
        <f>F184+F186+F188</f>
        <v>4182.3</v>
      </c>
    </row>
    <row r="184" spans="1:6" s="159" customFormat="1" ht="36" x14ac:dyDescent="0.2">
      <c r="A184" s="84" t="s">
        <v>217</v>
      </c>
      <c r="B184" s="30" t="s">
        <v>53</v>
      </c>
      <c r="C184" s="30" t="s">
        <v>216</v>
      </c>
      <c r="D184" s="30" t="s">
        <v>818</v>
      </c>
      <c r="E184" s="30" t="s">
        <v>218</v>
      </c>
      <c r="F184" s="41">
        <f>F185</f>
        <v>3728.3</v>
      </c>
    </row>
    <row r="185" spans="1:6" s="159" customFormat="1" ht="12" x14ac:dyDescent="0.2">
      <c r="A185" s="84" t="s">
        <v>820</v>
      </c>
      <c r="B185" s="30" t="s">
        <v>53</v>
      </c>
      <c r="C185" s="30" t="s">
        <v>216</v>
      </c>
      <c r="D185" s="30" t="s">
        <v>818</v>
      </c>
      <c r="E185" s="30" t="s">
        <v>821</v>
      </c>
      <c r="F185" s="41">
        <v>3728.3</v>
      </c>
    </row>
    <row r="186" spans="1:6" s="159" customFormat="1" ht="12" x14ac:dyDescent="0.2">
      <c r="A186" s="84" t="s">
        <v>473</v>
      </c>
      <c r="B186" s="30" t="s">
        <v>53</v>
      </c>
      <c r="C186" s="30" t="s">
        <v>216</v>
      </c>
      <c r="D186" s="30" t="s">
        <v>818</v>
      </c>
      <c r="E186" s="30" t="s">
        <v>226</v>
      </c>
      <c r="F186" s="41">
        <f>F187</f>
        <v>410.72550999999999</v>
      </c>
    </row>
    <row r="187" spans="1:6" s="159" customFormat="1" ht="24" x14ac:dyDescent="0.2">
      <c r="A187" s="84" t="s">
        <v>227</v>
      </c>
      <c r="B187" s="30" t="s">
        <v>53</v>
      </c>
      <c r="C187" s="30" t="s">
        <v>216</v>
      </c>
      <c r="D187" s="30" t="s">
        <v>818</v>
      </c>
      <c r="E187" s="30" t="s">
        <v>228</v>
      </c>
      <c r="F187" s="41">
        <f>419-0.07549-8.199</f>
        <v>410.72550999999999</v>
      </c>
    </row>
    <row r="188" spans="1:6" s="159" customFormat="1" ht="12" x14ac:dyDescent="0.2">
      <c r="A188" s="84" t="s">
        <v>229</v>
      </c>
      <c r="B188" s="30" t="s">
        <v>53</v>
      </c>
      <c r="C188" s="30" t="s">
        <v>216</v>
      </c>
      <c r="D188" s="30" t="s">
        <v>818</v>
      </c>
      <c r="E188" s="30" t="s">
        <v>230</v>
      </c>
      <c r="F188" s="41">
        <f>F189</f>
        <v>43.27449</v>
      </c>
    </row>
    <row r="189" spans="1:6" s="159" customFormat="1" ht="12" x14ac:dyDescent="0.2">
      <c r="A189" s="84" t="s">
        <v>311</v>
      </c>
      <c r="B189" s="30" t="s">
        <v>53</v>
      </c>
      <c r="C189" s="30" t="s">
        <v>216</v>
      </c>
      <c r="D189" s="30" t="s">
        <v>818</v>
      </c>
      <c r="E189" s="30" t="s">
        <v>231</v>
      </c>
      <c r="F189" s="41">
        <f>35+0.07549+8.199</f>
        <v>43.27449</v>
      </c>
    </row>
    <row r="190" spans="1:6" s="159" customFormat="1" ht="12" x14ac:dyDescent="0.2">
      <c r="A190" s="75" t="s">
        <v>534</v>
      </c>
      <c r="B190" s="43" t="s">
        <v>54</v>
      </c>
      <c r="C190" s="24"/>
      <c r="D190" s="24"/>
      <c r="E190" s="24"/>
      <c r="F190" s="42">
        <f>F191</f>
        <v>14736</v>
      </c>
    </row>
    <row r="191" spans="1:6" s="159" customFormat="1" ht="12" x14ac:dyDescent="0.2">
      <c r="A191" s="61" t="s">
        <v>655</v>
      </c>
      <c r="B191" s="43" t="s">
        <v>54</v>
      </c>
      <c r="C191" s="24" t="s">
        <v>216</v>
      </c>
      <c r="D191" s="24"/>
      <c r="E191" s="24"/>
      <c r="F191" s="42">
        <f>F192</f>
        <v>14736</v>
      </c>
    </row>
    <row r="192" spans="1:6" s="159" customFormat="1" ht="12" x14ac:dyDescent="0.2">
      <c r="A192" s="61" t="s">
        <v>690</v>
      </c>
      <c r="B192" s="43" t="s">
        <v>54</v>
      </c>
      <c r="C192" s="24" t="s">
        <v>216</v>
      </c>
      <c r="D192" s="24" t="s">
        <v>818</v>
      </c>
      <c r="E192" s="24"/>
      <c r="F192" s="42">
        <f>F193</f>
        <v>14736</v>
      </c>
    </row>
    <row r="193" spans="1:6" s="159" customFormat="1" ht="24" x14ac:dyDescent="0.2">
      <c r="A193" s="84" t="s">
        <v>246</v>
      </c>
      <c r="B193" s="30" t="s">
        <v>54</v>
      </c>
      <c r="C193" s="30" t="s">
        <v>216</v>
      </c>
      <c r="D193" s="30" t="s">
        <v>818</v>
      </c>
      <c r="E193" s="30" t="s">
        <v>702</v>
      </c>
      <c r="F193" s="41">
        <f>F194</f>
        <v>14736</v>
      </c>
    </row>
    <row r="194" spans="1:6" s="159" customFormat="1" ht="12" x14ac:dyDescent="0.2">
      <c r="A194" s="84" t="s">
        <v>247</v>
      </c>
      <c r="B194" s="30" t="s">
        <v>54</v>
      </c>
      <c r="C194" s="30" t="s">
        <v>216</v>
      </c>
      <c r="D194" s="30" t="s">
        <v>818</v>
      </c>
      <c r="E194" s="30" t="s">
        <v>724</v>
      </c>
      <c r="F194" s="41">
        <f>12456+2280</f>
        <v>14736</v>
      </c>
    </row>
    <row r="195" spans="1:6" s="160" customFormat="1" ht="27" x14ac:dyDescent="0.2">
      <c r="A195" s="152" t="s">
        <v>439</v>
      </c>
      <c r="B195" s="157" t="s">
        <v>425</v>
      </c>
      <c r="C195" s="154"/>
      <c r="D195" s="154"/>
      <c r="E195" s="154"/>
      <c r="F195" s="156">
        <f>F196+F210+F215+F220+F225+F230+F235+F240+F245+F250+F259+F264</f>
        <v>363289.65700000001</v>
      </c>
    </row>
    <row r="196" spans="1:6" s="160" customFormat="1" ht="24" x14ac:dyDescent="0.2">
      <c r="A196" s="82" t="s">
        <v>540</v>
      </c>
      <c r="B196" s="24" t="s">
        <v>425</v>
      </c>
      <c r="C196" s="24"/>
      <c r="D196" s="24"/>
      <c r="E196" s="24"/>
      <c r="F196" s="42">
        <f>F197</f>
        <v>6346</v>
      </c>
    </row>
    <row r="197" spans="1:6" s="160" customFormat="1" ht="24" x14ac:dyDescent="0.2">
      <c r="A197" s="83" t="s">
        <v>704</v>
      </c>
      <c r="B197" s="25" t="s">
        <v>425</v>
      </c>
      <c r="C197" s="25"/>
      <c r="D197" s="25"/>
      <c r="E197" s="25"/>
      <c r="F197" s="45">
        <f>F198+F203</f>
        <v>6346</v>
      </c>
    </row>
    <row r="198" spans="1:6" s="160" customFormat="1" ht="12" x14ac:dyDescent="0.2">
      <c r="A198" s="82" t="s">
        <v>685</v>
      </c>
      <c r="B198" s="24" t="s">
        <v>541</v>
      </c>
      <c r="C198" s="24"/>
      <c r="D198" s="24"/>
      <c r="E198" s="24"/>
      <c r="F198" s="42">
        <f>F199</f>
        <v>6153</v>
      </c>
    </row>
    <row r="199" spans="1:6" s="160" customFormat="1" ht="12" x14ac:dyDescent="0.2">
      <c r="A199" s="80" t="s">
        <v>667</v>
      </c>
      <c r="B199" s="24" t="s">
        <v>541</v>
      </c>
      <c r="C199" s="24" t="s">
        <v>731</v>
      </c>
      <c r="D199" s="24"/>
      <c r="E199" s="24"/>
      <c r="F199" s="42">
        <f>F200</f>
        <v>6153</v>
      </c>
    </row>
    <row r="200" spans="1:6" s="160" customFormat="1" ht="12" x14ac:dyDescent="0.2">
      <c r="A200" s="80" t="s">
        <v>672</v>
      </c>
      <c r="B200" s="24" t="s">
        <v>541</v>
      </c>
      <c r="C200" s="24" t="s">
        <v>731</v>
      </c>
      <c r="D200" s="24" t="s">
        <v>731</v>
      </c>
      <c r="E200" s="24"/>
      <c r="F200" s="42">
        <f>F201</f>
        <v>6153</v>
      </c>
    </row>
    <row r="201" spans="1:6" s="160" customFormat="1" ht="36" x14ac:dyDescent="0.2">
      <c r="A201" s="84" t="s">
        <v>217</v>
      </c>
      <c r="B201" s="30" t="s">
        <v>541</v>
      </c>
      <c r="C201" s="30" t="s">
        <v>731</v>
      </c>
      <c r="D201" s="30" t="s">
        <v>731</v>
      </c>
      <c r="E201" s="30" t="s">
        <v>218</v>
      </c>
      <c r="F201" s="41">
        <f>F202</f>
        <v>6153</v>
      </c>
    </row>
    <row r="202" spans="1:6" s="160" customFormat="1" ht="12" x14ac:dyDescent="0.2">
      <c r="A202" s="84" t="s">
        <v>219</v>
      </c>
      <c r="B202" s="30" t="s">
        <v>541</v>
      </c>
      <c r="C202" s="30" t="s">
        <v>731</v>
      </c>
      <c r="D202" s="30" t="s">
        <v>731</v>
      </c>
      <c r="E202" s="30" t="s">
        <v>224</v>
      </c>
      <c r="F202" s="41">
        <v>6153</v>
      </c>
    </row>
    <row r="203" spans="1:6" s="160" customFormat="1" ht="12" x14ac:dyDescent="0.2">
      <c r="A203" s="80" t="s">
        <v>225</v>
      </c>
      <c r="B203" s="24" t="s">
        <v>542</v>
      </c>
      <c r="C203" s="24"/>
      <c r="D203" s="24"/>
      <c r="E203" s="24"/>
      <c r="F203" s="42">
        <f>F204</f>
        <v>193</v>
      </c>
    </row>
    <row r="204" spans="1:6" s="160" customFormat="1" ht="12" x14ac:dyDescent="0.2">
      <c r="A204" s="80" t="s">
        <v>667</v>
      </c>
      <c r="B204" s="24" t="s">
        <v>542</v>
      </c>
      <c r="C204" s="24" t="s">
        <v>731</v>
      </c>
      <c r="D204" s="24"/>
      <c r="E204" s="24"/>
      <c r="F204" s="42">
        <f>F205</f>
        <v>193</v>
      </c>
    </row>
    <row r="205" spans="1:6" s="160" customFormat="1" ht="12" x14ac:dyDescent="0.2">
      <c r="A205" s="80" t="s">
        <v>672</v>
      </c>
      <c r="B205" s="24" t="s">
        <v>542</v>
      </c>
      <c r="C205" s="24" t="s">
        <v>731</v>
      </c>
      <c r="D205" s="24" t="s">
        <v>731</v>
      </c>
      <c r="E205" s="24"/>
      <c r="F205" s="42">
        <f>F206+F208</f>
        <v>193</v>
      </c>
    </row>
    <row r="206" spans="1:6" s="160" customFormat="1" ht="12" x14ac:dyDescent="0.2">
      <c r="A206" s="84" t="s">
        <v>473</v>
      </c>
      <c r="B206" s="30" t="s">
        <v>542</v>
      </c>
      <c r="C206" s="30" t="s">
        <v>731</v>
      </c>
      <c r="D206" s="30" t="s">
        <v>731</v>
      </c>
      <c r="E206" s="30" t="s">
        <v>226</v>
      </c>
      <c r="F206" s="41">
        <f>F207</f>
        <v>190</v>
      </c>
    </row>
    <row r="207" spans="1:6" s="160" customFormat="1" ht="24" x14ac:dyDescent="0.2">
      <c r="A207" s="84" t="s">
        <v>227</v>
      </c>
      <c r="B207" s="30" t="s">
        <v>542</v>
      </c>
      <c r="C207" s="30" t="s">
        <v>731</v>
      </c>
      <c r="D207" s="30" t="s">
        <v>731</v>
      </c>
      <c r="E207" s="30" t="s">
        <v>228</v>
      </c>
      <c r="F207" s="41">
        <v>190</v>
      </c>
    </row>
    <row r="208" spans="1:6" s="160" customFormat="1" ht="12" x14ac:dyDescent="0.2">
      <c r="A208" s="84" t="s">
        <v>229</v>
      </c>
      <c r="B208" s="30" t="s">
        <v>542</v>
      </c>
      <c r="C208" s="30" t="s">
        <v>731</v>
      </c>
      <c r="D208" s="30" t="s">
        <v>731</v>
      </c>
      <c r="E208" s="30" t="s">
        <v>230</v>
      </c>
      <c r="F208" s="41">
        <f>F209</f>
        <v>3</v>
      </c>
    </row>
    <row r="209" spans="1:6" s="160" customFormat="1" ht="12" x14ac:dyDescent="0.2">
      <c r="A209" s="84" t="s">
        <v>106</v>
      </c>
      <c r="B209" s="30" t="s">
        <v>542</v>
      </c>
      <c r="C209" s="30" t="s">
        <v>731</v>
      </c>
      <c r="D209" s="30" t="s">
        <v>731</v>
      </c>
      <c r="E209" s="30" t="s">
        <v>231</v>
      </c>
      <c r="F209" s="41">
        <v>3</v>
      </c>
    </row>
    <row r="210" spans="1:6" s="160" customFormat="1" ht="12" x14ac:dyDescent="0.2">
      <c r="A210" s="75" t="s">
        <v>10</v>
      </c>
      <c r="B210" s="24" t="s">
        <v>55</v>
      </c>
      <c r="C210" s="24"/>
      <c r="D210" s="24"/>
      <c r="E210" s="24"/>
      <c r="F210" s="42">
        <f>F211</f>
        <v>20300</v>
      </c>
    </row>
    <row r="211" spans="1:6" s="160" customFormat="1" ht="12" x14ac:dyDescent="0.2">
      <c r="A211" s="80" t="s">
        <v>667</v>
      </c>
      <c r="B211" s="24" t="s">
        <v>55</v>
      </c>
      <c r="C211" s="24" t="s">
        <v>731</v>
      </c>
      <c r="D211" s="24"/>
      <c r="E211" s="24"/>
      <c r="F211" s="42">
        <f>F212</f>
        <v>20300</v>
      </c>
    </row>
    <row r="212" spans="1:6" s="160" customFormat="1" ht="12" x14ac:dyDescent="0.2">
      <c r="A212" s="80" t="s">
        <v>671</v>
      </c>
      <c r="B212" s="24" t="s">
        <v>55</v>
      </c>
      <c r="C212" s="24" t="s">
        <v>731</v>
      </c>
      <c r="D212" s="24" t="s">
        <v>817</v>
      </c>
      <c r="E212" s="24"/>
      <c r="F212" s="42">
        <f>F213</f>
        <v>20300</v>
      </c>
    </row>
    <row r="213" spans="1:6" s="160" customFormat="1" ht="12" x14ac:dyDescent="0.2">
      <c r="A213" s="84" t="s">
        <v>473</v>
      </c>
      <c r="B213" s="30" t="s">
        <v>55</v>
      </c>
      <c r="C213" s="30" t="s">
        <v>731</v>
      </c>
      <c r="D213" s="30" t="s">
        <v>817</v>
      </c>
      <c r="E213" s="30" t="s">
        <v>226</v>
      </c>
      <c r="F213" s="41">
        <f>F214</f>
        <v>20300</v>
      </c>
    </row>
    <row r="214" spans="1:6" s="160" customFormat="1" ht="24" x14ac:dyDescent="0.2">
      <c r="A214" s="84" t="s">
        <v>227</v>
      </c>
      <c r="B214" s="30" t="s">
        <v>55</v>
      </c>
      <c r="C214" s="30" t="s">
        <v>731</v>
      </c>
      <c r="D214" s="30" t="s">
        <v>817</v>
      </c>
      <c r="E214" s="30" t="s">
        <v>228</v>
      </c>
      <c r="F214" s="41">
        <f>16100+4200</f>
        <v>20300</v>
      </c>
    </row>
    <row r="215" spans="1:6" s="160" customFormat="1" ht="12" x14ac:dyDescent="0.2">
      <c r="A215" s="75" t="s">
        <v>557</v>
      </c>
      <c r="B215" s="24" t="s">
        <v>56</v>
      </c>
      <c r="C215" s="24"/>
      <c r="D215" s="24"/>
      <c r="E215" s="24"/>
      <c r="F215" s="42">
        <f>F216</f>
        <v>2000</v>
      </c>
    </row>
    <row r="216" spans="1:6" s="160" customFormat="1" ht="12" x14ac:dyDescent="0.2">
      <c r="A216" s="80" t="s">
        <v>667</v>
      </c>
      <c r="B216" s="24" t="s">
        <v>56</v>
      </c>
      <c r="C216" s="24" t="s">
        <v>731</v>
      </c>
      <c r="D216" s="24"/>
      <c r="E216" s="24"/>
      <c r="F216" s="42">
        <f>F217</f>
        <v>2000</v>
      </c>
    </row>
    <row r="217" spans="1:6" s="160" customFormat="1" ht="12" x14ac:dyDescent="0.2">
      <c r="A217" s="80" t="s">
        <v>671</v>
      </c>
      <c r="B217" s="24" t="s">
        <v>56</v>
      </c>
      <c r="C217" s="24" t="s">
        <v>731</v>
      </c>
      <c r="D217" s="24" t="s">
        <v>817</v>
      </c>
      <c r="E217" s="24"/>
      <c r="F217" s="42">
        <f>F218</f>
        <v>2000</v>
      </c>
    </row>
    <row r="218" spans="1:6" s="160" customFormat="1" ht="12" x14ac:dyDescent="0.2">
      <c r="A218" s="84" t="s">
        <v>473</v>
      </c>
      <c r="B218" s="30" t="s">
        <v>56</v>
      </c>
      <c r="C218" s="30" t="s">
        <v>731</v>
      </c>
      <c r="D218" s="30" t="s">
        <v>817</v>
      </c>
      <c r="E218" s="30" t="s">
        <v>226</v>
      </c>
      <c r="F218" s="41">
        <f>F219</f>
        <v>2000</v>
      </c>
    </row>
    <row r="219" spans="1:6" s="160" customFormat="1" ht="24" x14ac:dyDescent="0.2">
      <c r="A219" s="84" t="s">
        <v>227</v>
      </c>
      <c r="B219" s="30" t="s">
        <v>56</v>
      </c>
      <c r="C219" s="30" t="s">
        <v>731</v>
      </c>
      <c r="D219" s="30" t="s">
        <v>817</v>
      </c>
      <c r="E219" s="30" t="s">
        <v>228</v>
      </c>
      <c r="F219" s="41">
        <v>2000</v>
      </c>
    </row>
    <row r="220" spans="1:6" s="160" customFormat="1" ht="12" x14ac:dyDescent="0.2">
      <c r="A220" s="80" t="s">
        <v>558</v>
      </c>
      <c r="B220" s="24" t="s">
        <v>57</v>
      </c>
      <c r="C220" s="24"/>
      <c r="D220" s="24"/>
      <c r="E220" s="24"/>
      <c r="F220" s="42">
        <f>F221</f>
        <v>2000</v>
      </c>
    </row>
    <row r="221" spans="1:6" s="160" customFormat="1" ht="12" x14ac:dyDescent="0.2">
      <c r="A221" s="80" t="s">
        <v>667</v>
      </c>
      <c r="B221" s="24" t="s">
        <v>57</v>
      </c>
      <c r="C221" s="24" t="s">
        <v>731</v>
      </c>
      <c r="D221" s="24"/>
      <c r="E221" s="24"/>
      <c r="F221" s="42">
        <f>F222</f>
        <v>2000</v>
      </c>
    </row>
    <row r="222" spans="1:6" s="160" customFormat="1" ht="12" x14ac:dyDescent="0.2">
      <c r="A222" s="80" t="s">
        <v>671</v>
      </c>
      <c r="B222" s="24" t="s">
        <v>57</v>
      </c>
      <c r="C222" s="24" t="s">
        <v>731</v>
      </c>
      <c r="D222" s="24" t="s">
        <v>817</v>
      </c>
      <c r="E222" s="24"/>
      <c r="F222" s="42">
        <f>F223</f>
        <v>2000</v>
      </c>
    </row>
    <row r="223" spans="1:6" s="160" customFormat="1" ht="12" x14ac:dyDescent="0.2">
      <c r="A223" s="84" t="s">
        <v>473</v>
      </c>
      <c r="B223" s="30" t="s">
        <v>57</v>
      </c>
      <c r="C223" s="30" t="s">
        <v>731</v>
      </c>
      <c r="D223" s="30" t="s">
        <v>817</v>
      </c>
      <c r="E223" s="30" t="s">
        <v>226</v>
      </c>
      <c r="F223" s="41">
        <f>F224</f>
        <v>2000</v>
      </c>
    </row>
    <row r="224" spans="1:6" s="160" customFormat="1" ht="24" x14ac:dyDescent="0.2">
      <c r="A224" s="84" t="s">
        <v>227</v>
      </c>
      <c r="B224" s="30" t="s">
        <v>57</v>
      </c>
      <c r="C224" s="30" t="s">
        <v>731</v>
      </c>
      <c r="D224" s="30" t="s">
        <v>817</v>
      </c>
      <c r="E224" s="30" t="s">
        <v>228</v>
      </c>
      <c r="F224" s="41">
        <v>2000</v>
      </c>
    </row>
    <row r="225" spans="1:6" s="160" customFormat="1" ht="24" x14ac:dyDescent="0.2">
      <c r="A225" s="75" t="s">
        <v>535</v>
      </c>
      <c r="B225" s="24" t="s">
        <v>58</v>
      </c>
      <c r="C225" s="24"/>
      <c r="D225" s="24"/>
      <c r="E225" s="24"/>
      <c r="F225" s="42">
        <f>F226</f>
        <v>4406.2569999999996</v>
      </c>
    </row>
    <row r="226" spans="1:6" s="160" customFormat="1" ht="12" x14ac:dyDescent="0.2">
      <c r="A226" s="80" t="s">
        <v>667</v>
      </c>
      <c r="B226" s="24" t="s">
        <v>58</v>
      </c>
      <c r="C226" s="24" t="s">
        <v>731</v>
      </c>
      <c r="D226" s="24"/>
      <c r="E226" s="24"/>
      <c r="F226" s="42">
        <f>F227</f>
        <v>4406.2569999999996</v>
      </c>
    </row>
    <row r="227" spans="1:6" s="160" customFormat="1" ht="12" x14ac:dyDescent="0.2">
      <c r="A227" s="80" t="s">
        <v>671</v>
      </c>
      <c r="B227" s="24" t="s">
        <v>58</v>
      </c>
      <c r="C227" s="24" t="s">
        <v>731</v>
      </c>
      <c r="D227" s="24" t="s">
        <v>817</v>
      </c>
      <c r="E227" s="24"/>
      <c r="F227" s="42">
        <f>F228</f>
        <v>4406.2569999999996</v>
      </c>
    </row>
    <row r="228" spans="1:6" s="160" customFormat="1" ht="12" x14ac:dyDescent="0.2">
      <c r="A228" s="84" t="s">
        <v>473</v>
      </c>
      <c r="B228" s="30" t="s">
        <v>58</v>
      </c>
      <c r="C228" s="30" t="s">
        <v>731</v>
      </c>
      <c r="D228" s="30" t="s">
        <v>817</v>
      </c>
      <c r="E228" s="30" t="s">
        <v>226</v>
      </c>
      <c r="F228" s="41">
        <f>F229</f>
        <v>4406.2569999999996</v>
      </c>
    </row>
    <row r="229" spans="1:6" s="160" customFormat="1" ht="24" x14ac:dyDescent="0.2">
      <c r="A229" s="84" t="s">
        <v>227</v>
      </c>
      <c r="B229" s="30" t="s">
        <v>58</v>
      </c>
      <c r="C229" s="30" t="s">
        <v>731</v>
      </c>
      <c r="D229" s="30" t="s">
        <v>817</v>
      </c>
      <c r="E229" s="30" t="s">
        <v>228</v>
      </c>
      <c r="F229" s="41">
        <v>4406.2569999999996</v>
      </c>
    </row>
    <row r="230" spans="1:6" s="160" customFormat="1" ht="12" x14ac:dyDescent="0.2">
      <c r="A230" s="76" t="s">
        <v>536</v>
      </c>
      <c r="B230" s="37" t="s">
        <v>59</v>
      </c>
      <c r="C230" s="24"/>
      <c r="D230" s="24"/>
      <c r="E230" s="37"/>
      <c r="F230" s="42">
        <f>F231</f>
        <v>1000</v>
      </c>
    </row>
    <row r="231" spans="1:6" s="160" customFormat="1" ht="12" x14ac:dyDescent="0.2">
      <c r="A231" s="80" t="s">
        <v>667</v>
      </c>
      <c r="B231" s="24" t="s">
        <v>59</v>
      </c>
      <c r="C231" s="24" t="s">
        <v>731</v>
      </c>
      <c r="D231" s="24"/>
      <c r="E231" s="37"/>
      <c r="F231" s="42">
        <f>F232</f>
        <v>1000</v>
      </c>
    </row>
    <row r="232" spans="1:6" s="160" customFormat="1" ht="12" x14ac:dyDescent="0.2">
      <c r="A232" s="80" t="s">
        <v>671</v>
      </c>
      <c r="B232" s="24" t="s">
        <v>59</v>
      </c>
      <c r="C232" s="24" t="s">
        <v>731</v>
      </c>
      <c r="D232" s="24" t="s">
        <v>817</v>
      </c>
      <c r="E232" s="37"/>
      <c r="F232" s="42">
        <f>F233</f>
        <v>1000</v>
      </c>
    </row>
    <row r="233" spans="1:6" s="160" customFormat="1" ht="12" x14ac:dyDescent="0.2">
      <c r="A233" s="84" t="s">
        <v>322</v>
      </c>
      <c r="B233" s="31" t="s">
        <v>59</v>
      </c>
      <c r="C233" s="30" t="s">
        <v>731</v>
      </c>
      <c r="D233" s="30" t="s">
        <v>817</v>
      </c>
      <c r="E233" s="30" t="s">
        <v>226</v>
      </c>
      <c r="F233" s="41">
        <f>F234</f>
        <v>1000</v>
      </c>
    </row>
    <row r="234" spans="1:6" s="160" customFormat="1" ht="24" x14ac:dyDescent="0.2">
      <c r="A234" s="84" t="s">
        <v>227</v>
      </c>
      <c r="B234" s="31" t="s">
        <v>59</v>
      </c>
      <c r="C234" s="30" t="s">
        <v>731</v>
      </c>
      <c r="D234" s="30" t="s">
        <v>817</v>
      </c>
      <c r="E234" s="30" t="s">
        <v>228</v>
      </c>
      <c r="F234" s="41">
        <v>1000</v>
      </c>
    </row>
    <row r="235" spans="1:6" s="160" customFormat="1" x14ac:dyDescent="0.2">
      <c r="A235" s="87" t="s">
        <v>409</v>
      </c>
      <c r="B235" s="24" t="s">
        <v>60</v>
      </c>
      <c r="C235" s="24"/>
      <c r="D235" s="24"/>
      <c r="E235" s="24"/>
      <c r="F235" s="42">
        <f>F236</f>
        <v>70000</v>
      </c>
    </row>
    <row r="236" spans="1:6" s="160" customFormat="1" ht="12" x14ac:dyDescent="0.2">
      <c r="A236" s="80" t="s">
        <v>667</v>
      </c>
      <c r="B236" s="24" t="s">
        <v>60</v>
      </c>
      <c r="C236" s="24" t="s">
        <v>731</v>
      </c>
      <c r="D236" s="24"/>
      <c r="E236" s="24"/>
      <c r="F236" s="42">
        <f>F237</f>
        <v>70000</v>
      </c>
    </row>
    <row r="237" spans="1:6" s="160" customFormat="1" ht="12" x14ac:dyDescent="0.2">
      <c r="A237" s="80" t="s">
        <v>671</v>
      </c>
      <c r="B237" s="24" t="s">
        <v>60</v>
      </c>
      <c r="C237" s="24" t="s">
        <v>731</v>
      </c>
      <c r="D237" s="24" t="s">
        <v>817</v>
      </c>
      <c r="E237" s="24"/>
      <c r="F237" s="42">
        <f>F238</f>
        <v>70000</v>
      </c>
    </row>
    <row r="238" spans="1:6" s="160" customFormat="1" ht="12" x14ac:dyDescent="0.2">
      <c r="A238" s="84" t="s">
        <v>473</v>
      </c>
      <c r="B238" s="30" t="s">
        <v>60</v>
      </c>
      <c r="C238" s="30" t="s">
        <v>731</v>
      </c>
      <c r="D238" s="30" t="s">
        <v>817</v>
      </c>
      <c r="E238" s="30" t="s">
        <v>226</v>
      </c>
      <c r="F238" s="41">
        <f>F239</f>
        <v>70000</v>
      </c>
    </row>
    <row r="239" spans="1:6" s="160" customFormat="1" ht="24" x14ac:dyDescent="0.2">
      <c r="A239" s="84" t="s">
        <v>227</v>
      </c>
      <c r="B239" s="30" t="s">
        <v>60</v>
      </c>
      <c r="C239" s="30" t="s">
        <v>731</v>
      </c>
      <c r="D239" s="30" t="s">
        <v>817</v>
      </c>
      <c r="E239" s="30" t="s">
        <v>228</v>
      </c>
      <c r="F239" s="41">
        <v>70000</v>
      </c>
    </row>
    <row r="240" spans="1:6" s="160" customFormat="1" x14ac:dyDescent="0.2">
      <c r="A240" s="87" t="s">
        <v>537</v>
      </c>
      <c r="B240" s="24" t="s">
        <v>61</v>
      </c>
      <c r="C240" s="24"/>
      <c r="D240" s="24"/>
      <c r="E240" s="24"/>
      <c r="F240" s="42">
        <f>F241</f>
        <v>18800</v>
      </c>
    </row>
    <row r="241" spans="1:6" s="160" customFormat="1" ht="12" x14ac:dyDescent="0.2">
      <c r="A241" s="80" t="s">
        <v>667</v>
      </c>
      <c r="B241" s="24" t="s">
        <v>61</v>
      </c>
      <c r="C241" s="24" t="s">
        <v>731</v>
      </c>
      <c r="D241" s="24"/>
      <c r="E241" s="24"/>
      <c r="F241" s="42">
        <f>F242</f>
        <v>18800</v>
      </c>
    </row>
    <row r="242" spans="1:6" s="160" customFormat="1" ht="12" x14ac:dyDescent="0.2">
      <c r="A242" s="80" t="s">
        <v>671</v>
      </c>
      <c r="B242" s="24" t="s">
        <v>61</v>
      </c>
      <c r="C242" s="24" t="s">
        <v>731</v>
      </c>
      <c r="D242" s="24" t="s">
        <v>817</v>
      </c>
      <c r="E242" s="24"/>
      <c r="F242" s="42">
        <f>F243</f>
        <v>18800</v>
      </c>
    </row>
    <row r="243" spans="1:6" s="160" customFormat="1" ht="12" x14ac:dyDescent="0.2">
      <c r="A243" s="84" t="s">
        <v>473</v>
      </c>
      <c r="B243" s="30" t="s">
        <v>61</v>
      </c>
      <c r="C243" s="30" t="s">
        <v>731</v>
      </c>
      <c r="D243" s="30" t="s">
        <v>817</v>
      </c>
      <c r="E243" s="30" t="s">
        <v>226</v>
      </c>
      <c r="F243" s="41">
        <f>F244</f>
        <v>18800</v>
      </c>
    </row>
    <row r="244" spans="1:6" s="160" customFormat="1" ht="24" x14ac:dyDescent="0.2">
      <c r="A244" s="84" t="s">
        <v>227</v>
      </c>
      <c r="B244" s="30" t="s">
        <v>61</v>
      </c>
      <c r="C244" s="30" t="s">
        <v>731</v>
      </c>
      <c r="D244" s="30" t="s">
        <v>817</v>
      </c>
      <c r="E244" s="30" t="s">
        <v>228</v>
      </c>
      <c r="F244" s="41">
        <f>23000-4200</f>
        <v>18800</v>
      </c>
    </row>
    <row r="245" spans="1:6" s="160" customFormat="1" ht="24" x14ac:dyDescent="0.2">
      <c r="A245" s="80" t="s">
        <v>543</v>
      </c>
      <c r="B245" s="24" t="s">
        <v>62</v>
      </c>
      <c r="C245" s="24"/>
      <c r="D245" s="24"/>
      <c r="E245" s="24"/>
      <c r="F245" s="42">
        <f>F246</f>
        <v>500</v>
      </c>
    </row>
    <row r="246" spans="1:6" s="160" customFormat="1" ht="12" x14ac:dyDescent="0.2">
      <c r="A246" s="80" t="s">
        <v>667</v>
      </c>
      <c r="B246" s="24" t="s">
        <v>62</v>
      </c>
      <c r="C246" s="24" t="s">
        <v>731</v>
      </c>
      <c r="D246" s="24"/>
      <c r="E246" s="24"/>
      <c r="F246" s="42">
        <f>F247</f>
        <v>500</v>
      </c>
    </row>
    <row r="247" spans="1:6" s="160" customFormat="1" ht="12" x14ac:dyDescent="0.2">
      <c r="A247" s="80" t="s">
        <v>671</v>
      </c>
      <c r="B247" s="24" t="s">
        <v>62</v>
      </c>
      <c r="C247" s="24" t="s">
        <v>731</v>
      </c>
      <c r="D247" s="24" t="s">
        <v>817</v>
      </c>
      <c r="E247" s="24"/>
      <c r="F247" s="42">
        <f>F248</f>
        <v>500</v>
      </c>
    </row>
    <row r="248" spans="1:6" s="160" customFormat="1" ht="12" x14ac:dyDescent="0.2">
      <c r="A248" s="84" t="s">
        <v>473</v>
      </c>
      <c r="B248" s="30" t="s">
        <v>62</v>
      </c>
      <c r="C248" s="30" t="s">
        <v>731</v>
      </c>
      <c r="D248" s="30" t="s">
        <v>817</v>
      </c>
      <c r="E248" s="30" t="s">
        <v>226</v>
      </c>
      <c r="F248" s="41">
        <f>F249</f>
        <v>500</v>
      </c>
    </row>
    <row r="249" spans="1:6" s="160" customFormat="1" ht="24" x14ac:dyDescent="0.2">
      <c r="A249" s="84" t="s">
        <v>227</v>
      </c>
      <c r="B249" s="30" t="s">
        <v>62</v>
      </c>
      <c r="C249" s="30" t="s">
        <v>731</v>
      </c>
      <c r="D249" s="30" t="s">
        <v>817</v>
      </c>
      <c r="E249" s="30" t="s">
        <v>228</v>
      </c>
      <c r="F249" s="41">
        <v>500</v>
      </c>
    </row>
    <row r="250" spans="1:6" s="160" customFormat="1" ht="12" x14ac:dyDescent="0.2">
      <c r="A250" s="80" t="s">
        <v>430</v>
      </c>
      <c r="B250" s="24" t="s">
        <v>63</v>
      </c>
      <c r="C250" s="24"/>
      <c r="D250" s="24"/>
      <c r="E250" s="24"/>
      <c r="F250" s="42">
        <f>F251</f>
        <v>6000</v>
      </c>
    </row>
    <row r="251" spans="1:6" s="160" customFormat="1" ht="12" x14ac:dyDescent="0.2">
      <c r="A251" s="61" t="s">
        <v>655</v>
      </c>
      <c r="B251" s="24" t="s">
        <v>63</v>
      </c>
      <c r="C251" s="24" t="s">
        <v>216</v>
      </c>
      <c r="D251" s="24"/>
      <c r="E251" s="24"/>
      <c r="F251" s="42">
        <f>F252</f>
        <v>6000</v>
      </c>
    </row>
    <row r="252" spans="1:6" s="160" customFormat="1" ht="12" x14ac:dyDescent="0.2">
      <c r="A252" s="61" t="s">
        <v>665</v>
      </c>
      <c r="B252" s="24" t="s">
        <v>63</v>
      </c>
      <c r="C252" s="24" t="s">
        <v>216</v>
      </c>
      <c r="D252" s="24" t="s">
        <v>824</v>
      </c>
      <c r="E252" s="24"/>
      <c r="F252" s="42">
        <f>F253+F255+F257</f>
        <v>6000</v>
      </c>
    </row>
    <row r="253" spans="1:6" s="160" customFormat="1" ht="36" x14ac:dyDescent="0.2">
      <c r="A253" s="84" t="s">
        <v>217</v>
      </c>
      <c r="B253" s="30" t="s">
        <v>63</v>
      </c>
      <c r="C253" s="30" t="s">
        <v>216</v>
      </c>
      <c r="D253" s="30" t="s">
        <v>824</v>
      </c>
      <c r="E253" s="30" t="s">
        <v>218</v>
      </c>
      <c r="F253" s="41">
        <f>F254</f>
        <v>5061</v>
      </c>
    </row>
    <row r="254" spans="1:6" s="160" customFormat="1" ht="12" x14ac:dyDescent="0.2">
      <c r="A254" s="84" t="s">
        <v>820</v>
      </c>
      <c r="B254" s="30" t="s">
        <v>63</v>
      </c>
      <c r="C254" s="30" t="s">
        <v>216</v>
      </c>
      <c r="D254" s="30" t="s">
        <v>824</v>
      </c>
      <c r="E254" s="30" t="s">
        <v>821</v>
      </c>
      <c r="F254" s="41">
        <f>5041+20</f>
        <v>5061</v>
      </c>
    </row>
    <row r="255" spans="1:6" s="160" customFormat="1" ht="12" x14ac:dyDescent="0.2">
      <c r="A255" s="84" t="s">
        <v>473</v>
      </c>
      <c r="B255" s="30" t="s">
        <v>63</v>
      </c>
      <c r="C255" s="30" t="s">
        <v>216</v>
      </c>
      <c r="D255" s="30" t="s">
        <v>824</v>
      </c>
      <c r="E255" s="30" t="s">
        <v>226</v>
      </c>
      <c r="F255" s="41">
        <f>F256</f>
        <v>897.64886999999999</v>
      </c>
    </row>
    <row r="256" spans="1:6" s="160" customFormat="1" ht="24" x14ac:dyDescent="0.2">
      <c r="A256" s="84" t="s">
        <v>227</v>
      </c>
      <c r="B256" s="30" t="s">
        <v>63</v>
      </c>
      <c r="C256" s="30" t="s">
        <v>216</v>
      </c>
      <c r="D256" s="30" t="s">
        <v>824</v>
      </c>
      <c r="E256" s="30" t="s">
        <v>228</v>
      </c>
      <c r="F256" s="41">
        <f>934-0.25113-20-16.1</f>
        <v>897.64886999999999</v>
      </c>
    </row>
    <row r="257" spans="1:6" s="160" customFormat="1" ht="12" x14ac:dyDescent="0.2">
      <c r="A257" s="84" t="s">
        <v>229</v>
      </c>
      <c r="B257" s="30" t="s">
        <v>63</v>
      </c>
      <c r="C257" s="30" t="s">
        <v>216</v>
      </c>
      <c r="D257" s="30" t="s">
        <v>824</v>
      </c>
      <c r="E257" s="30" t="s">
        <v>230</v>
      </c>
      <c r="F257" s="41">
        <f>F258</f>
        <v>41.351129999999998</v>
      </c>
    </row>
    <row r="258" spans="1:6" s="160" customFormat="1" ht="12" x14ac:dyDescent="0.2">
      <c r="A258" s="84" t="s">
        <v>311</v>
      </c>
      <c r="B258" s="30" t="s">
        <v>63</v>
      </c>
      <c r="C258" s="30" t="s">
        <v>216</v>
      </c>
      <c r="D258" s="30" t="s">
        <v>824</v>
      </c>
      <c r="E258" s="30" t="s">
        <v>231</v>
      </c>
      <c r="F258" s="41">
        <f>25+0.25113+16.1</f>
        <v>41.351129999999998</v>
      </c>
    </row>
    <row r="259" spans="1:6" s="160" customFormat="1" ht="24" x14ac:dyDescent="0.2">
      <c r="A259" s="80" t="s">
        <v>431</v>
      </c>
      <c r="B259" s="24" t="s">
        <v>64</v>
      </c>
      <c r="C259" s="24"/>
      <c r="D259" s="24"/>
      <c r="E259" s="24"/>
      <c r="F259" s="42">
        <f>F260</f>
        <v>162000</v>
      </c>
    </row>
    <row r="260" spans="1:6" s="160" customFormat="1" ht="12" x14ac:dyDescent="0.2">
      <c r="A260" s="80" t="s">
        <v>667</v>
      </c>
      <c r="B260" s="24" t="s">
        <v>64</v>
      </c>
      <c r="C260" s="24" t="s">
        <v>731</v>
      </c>
      <c r="D260" s="24"/>
      <c r="E260" s="24"/>
      <c r="F260" s="42">
        <f>F261</f>
        <v>162000</v>
      </c>
    </row>
    <row r="261" spans="1:6" s="160" customFormat="1" ht="12" x14ac:dyDescent="0.2">
      <c r="A261" s="80" t="s">
        <v>671</v>
      </c>
      <c r="B261" s="24" t="s">
        <v>64</v>
      </c>
      <c r="C261" s="24" t="s">
        <v>731</v>
      </c>
      <c r="D261" s="24" t="s">
        <v>817</v>
      </c>
      <c r="E261" s="24"/>
      <c r="F261" s="42">
        <f>F262</f>
        <v>162000</v>
      </c>
    </row>
    <row r="262" spans="1:6" s="160" customFormat="1" ht="24" x14ac:dyDescent="0.2">
      <c r="A262" s="84" t="s">
        <v>246</v>
      </c>
      <c r="B262" s="30" t="s">
        <v>64</v>
      </c>
      <c r="C262" s="30" t="s">
        <v>731</v>
      </c>
      <c r="D262" s="30" t="s">
        <v>817</v>
      </c>
      <c r="E262" s="30" t="s">
        <v>702</v>
      </c>
      <c r="F262" s="41">
        <f>F263</f>
        <v>162000</v>
      </c>
    </row>
    <row r="263" spans="1:6" s="160" customFormat="1" ht="12" x14ac:dyDescent="0.2">
      <c r="A263" s="84" t="s">
        <v>247</v>
      </c>
      <c r="B263" s="30" t="s">
        <v>64</v>
      </c>
      <c r="C263" s="30" t="s">
        <v>731</v>
      </c>
      <c r="D263" s="30" t="s">
        <v>817</v>
      </c>
      <c r="E263" s="30" t="s">
        <v>724</v>
      </c>
      <c r="F263" s="41">
        <f>161600+400</f>
        <v>162000</v>
      </c>
    </row>
    <row r="264" spans="1:6" s="160" customFormat="1" ht="24" x14ac:dyDescent="0.2">
      <c r="A264" s="80" t="s">
        <v>418</v>
      </c>
      <c r="B264" s="24" t="s">
        <v>41</v>
      </c>
      <c r="C264" s="24"/>
      <c r="D264" s="24"/>
      <c r="E264" s="24"/>
      <c r="F264" s="117">
        <f>F265</f>
        <v>69937.399999999994</v>
      </c>
    </row>
    <row r="265" spans="1:6" s="160" customFormat="1" ht="12" x14ac:dyDescent="0.2">
      <c r="A265" s="80" t="s">
        <v>667</v>
      </c>
      <c r="B265" s="24" t="s">
        <v>41</v>
      </c>
      <c r="C265" s="24" t="s">
        <v>731</v>
      </c>
      <c r="D265" s="24"/>
      <c r="E265" s="24"/>
      <c r="F265" s="117">
        <f>F266</f>
        <v>69937.399999999994</v>
      </c>
    </row>
    <row r="266" spans="1:6" s="160" customFormat="1" ht="12" x14ac:dyDescent="0.2">
      <c r="A266" s="80" t="s">
        <v>671</v>
      </c>
      <c r="B266" s="24" t="s">
        <v>41</v>
      </c>
      <c r="C266" s="24" t="s">
        <v>731</v>
      </c>
      <c r="D266" s="24" t="s">
        <v>817</v>
      </c>
      <c r="E266" s="24"/>
      <c r="F266" s="117">
        <f>F267</f>
        <v>69937.399999999994</v>
      </c>
    </row>
    <row r="267" spans="1:6" s="160" customFormat="1" ht="12" x14ac:dyDescent="0.2">
      <c r="A267" s="84" t="s">
        <v>473</v>
      </c>
      <c r="B267" s="30" t="s">
        <v>41</v>
      </c>
      <c r="C267" s="30" t="s">
        <v>731</v>
      </c>
      <c r="D267" s="30" t="s">
        <v>817</v>
      </c>
      <c r="E267" s="30" t="s">
        <v>226</v>
      </c>
      <c r="F267" s="118">
        <f>F268</f>
        <v>69937.399999999994</v>
      </c>
    </row>
    <row r="268" spans="1:6" s="160" customFormat="1" ht="24" x14ac:dyDescent="0.2">
      <c r="A268" s="84" t="s">
        <v>227</v>
      </c>
      <c r="B268" s="30" t="s">
        <v>41</v>
      </c>
      <c r="C268" s="30" t="s">
        <v>731</v>
      </c>
      <c r="D268" s="30" t="s">
        <v>817</v>
      </c>
      <c r="E268" s="30" t="s">
        <v>228</v>
      </c>
      <c r="F268" s="118">
        <f>60000+3000+4000+2937.4</f>
        <v>69937.399999999994</v>
      </c>
    </row>
    <row r="269" spans="1:6" s="160" customFormat="1" ht="40.5" x14ac:dyDescent="0.2">
      <c r="A269" s="152" t="s">
        <v>699</v>
      </c>
      <c r="B269" s="154" t="s">
        <v>387</v>
      </c>
      <c r="C269" s="154"/>
      <c r="D269" s="154"/>
      <c r="E269" s="154"/>
      <c r="F269" s="161">
        <f>F270+F275+F280+F285+F290</f>
        <v>1500</v>
      </c>
    </row>
    <row r="270" spans="1:6" s="160" customFormat="1" ht="48" x14ac:dyDescent="0.2">
      <c r="A270" s="61" t="s">
        <v>16</v>
      </c>
      <c r="B270" s="24" t="s">
        <v>28</v>
      </c>
      <c r="C270" s="24"/>
      <c r="D270" s="24"/>
      <c r="E270" s="24"/>
      <c r="F270" s="35">
        <f>F271</f>
        <v>200</v>
      </c>
    </row>
    <row r="271" spans="1:6" s="160" customFormat="1" ht="12" x14ac:dyDescent="0.2">
      <c r="A271" s="61" t="s">
        <v>655</v>
      </c>
      <c r="B271" s="24" t="s">
        <v>28</v>
      </c>
      <c r="C271" s="24" t="s">
        <v>216</v>
      </c>
      <c r="D271" s="24"/>
      <c r="E271" s="24"/>
      <c r="F271" s="35">
        <f>F272</f>
        <v>200</v>
      </c>
    </row>
    <row r="272" spans="1:6" s="160" customFormat="1" ht="12" x14ac:dyDescent="0.2">
      <c r="A272" s="61" t="s">
        <v>698</v>
      </c>
      <c r="B272" s="24" t="s">
        <v>28</v>
      </c>
      <c r="C272" s="24" t="s">
        <v>216</v>
      </c>
      <c r="D272" s="24" t="s">
        <v>823</v>
      </c>
      <c r="E272" s="24"/>
      <c r="F272" s="35">
        <f>F273</f>
        <v>200</v>
      </c>
    </row>
    <row r="273" spans="1:6" s="160" customFormat="1" ht="12" x14ac:dyDescent="0.2">
      <c r="A273" s="84" t="s">
        <v>473</v>
      </c>
      <c r="B273" s="30" t="s">
        <v>28</v>
      </c>
      <c r="C273" s="30" t="s">
        <v>216</v>
      </c>
      <c r="D273" s="30" t="s">
        <v>823</v>
      </c>
      <c r="E273" s="30" t="s">
        <v>226</v>
      </c>
      <c r="F273" s="116">
        <f>F274</f>
        <v>200</v>
      </c>
    </row>
    <row r="274" spans="1:6" s="160" customFormat="1" ht="24" x14ac:dyDescent="0.2">
      <c r="A274" s="84" t="s">
        <v>227</v>
      </c>
      <c r="B274" s="30" t="s">
        <v>28</v>
      </c>
      <c r="C274" s="30" t="s">
        <v>216</v>
      </c>
      <c r="D274" s="30" t="s">
        <v>823</v>
      </c>
      <c r="E274" s="30" t="s">
        <v>228</v>
      </c>
      <c r="F274" s="116">
        <v>200</v>
      </c>
    </row>
    <row r="275" spans="1:6" s="160" customFormat="1" ht="48" x14ac:dyDescent="0.2">
      <c r="A275" s="61" t="s">
        <v>17</v>
      </c>
      <c r="B275" s="24" t="s">
        <v>29</v>
      </c>
      <c r="C275" s="24"/>
      <c r="D275" s="24"/>
      <c r="E275" s="24"/>
      <c r="F275" s="35">
        <f>F276</f>
        <v>300</v>
      </c>
    </row>
    <row r="276" spans="1:6" s="160" customFormat="1" ht="12" x14ac:dyDescent="0.2">
      <c r="A276" s="61" t="s">
        <v>655</v>
      </c>
      <c r="B276" s="24" t="s">
        <v>29</v>
      </c>
      <c r="C276" s="24" t="s">
        <v>216</v>
      </c>
      <c r="D276" s="24"/>
      <c r="E276" s="24"/>
      <c r="F276" s="35">
        <f>F277</f>
        <v>300</v>
      </c>
    </row>
    <row r="277" spans="1:6" s="160" customFormat="1" ht="12" x14ac:dyDescent="0.2">
      <c r="A277" s="61" t="s">
        <v>698</v>
      </c>
      <c r="B277" s="24" t="s">
        <v>29</v>
      </c>
      <c r="C277" s="24" t="s">
        <v>216</v>
      </c>
      <c r="D277" s="24" t="s">
        <v>823</v>
      </c>
      <c r="E277" s="24"/>
      <c r="F277" s="35">
        <f>F278</f>
        <v>300</v>
      </c>
    </row>
    <row r="278" spans="1:6" s="160" customFormat="1" ht="12" x14ac:dyDescent="0.2">
      <c r="A278" s="84" t="s">
        <v>473</v>
      </c>
      <c r="B278" s="30" t="s">
        <v>29</v>
      </c>
      <c r="C278" s="30" t="s">
        <v>216</v>
      </c>
      <c r="D278" s="30" t="s">
        <v>823</v>
      </c>
      <c r="E278" s="30" t="s">
        <v>226</v>
      </c>
      <c r="F278" s="116">
        <f>F279</f>
        <v>300</v>
      </c>
    </row>
    <row r="279" spans="1:6" s="160" customFormat="1" ht="24" x14ac:dyDescent="0.2">
      <c r="A279" s="84" t="s">
        <v>227</v>
      </c>
      <c r="B279" s="30" t="s">
        <v>29</v>
      </c>
      <c r="C279" s="30" t="s">
        <v>216</v>
      </c>
      <c r="D279" s="30" t="s">
        <v>823</v>
      </c>
      <c r="E279" s="30" t="s">
        <v>228</v>
      </c>
      <c r="F279" s="116">
        <v>300</v>
      </c>
    </row>
    <row r="280" spans="1:6" s="160" customFormat="1" ht="36" x14ac:dyDescent="0.2">
      <c r="A280" s="80" t="s">
        <v>18</v>
      </c>
      <c r="B280" s="24" t="s">
        <v>30</v>
      </c>
      <c r="C280" s="24"/>
      <c r="D280" s="24"/>
      <c r="E280" s="24"/>
      <c r="F280" s="35">
        <f>F281</f>
        <v>300</v>
      </c>
    </row>
    <row r="281" spans="1:6" s="160" customFormat="1" ht="12" x14ac:dyDescent="0.2">
      <c r="A281" s="61" t="s">
        <v>655</v>
      </c>
      <c r="B281" s="24" t="s">
        <v>30</v>
      </c>
      <c r="C281" s="24" t="s">
        <v>216</v>
      </c>
      <c r="D281" s="24"/>
      <c r="E281" s="24"/>
      <c r="F281" s="35">
        <f>F282</f>
        <v>300</v>
      </c>
    </row>
    <row r="282" spans="1:6" s="160" customFormat="1" ht="12" x14ac:dyDescent="0.2">
      <c r="A282" s="61" t="s">
        <v>698</v>
      </c>
      <c r="B282" s="24" t="s">
        <v>30</v>
      </c>
      <c r="C282" s="24" t="s">
        <v>216</v>
      </c>
      <c r="D282" s="24" t="s">
        <v>823</v>
      </c>
      <c r="E282" s="24"/>
      <c r="F282" s="35">
        <f>F283</f>
        <v>300</v>
      </c>
    </row>
    <row r="283" spans="1:6" s="160" customFormat="1" ht="12" x14ac:dyDescent="0.2">
      <c r="A283" s="84" t="s">
        <v>473</v>
      </c>
      <c r="B283" s="30" t="s">
        <v>30</v>
      </c>
      <c r="C283" s="30" t="s">
        <v>216</v>
      </c>
      <c r="D283" s="30" t="s">
        <v>823</v>
      </c>
      <c r="E283" s="30" t="s">
        <v>226</v>
      </c>
      <c r="F283" s="116">
        <f>F284</f>
        <v>300</v>
      </c>
    </row>
    <row r="284" spans="1:6" s="160" customFormat="1" ht="24" x14ac:dyDescent="0.2">
      <c r="A284" s="84" t="s">
        <v>227</v>
      </c>
      <c r="B284" s="30" t="s">
        <v>30</v>
      </c>
      <c r="C284" s="30" t="s">
        <v>216</v>
      </c>
      <c r="D284" s="30" t="s">
        <v>823</v>
      </c>
      <c r="E284" s="30" t="s">
        <v>228</v>
      </c>
      <c r="F284" s="116">
        <v>300</v>
      </c>
    </row>
    <row r="285" spans="1:6" s="160" customFormat="1" ht="24" x14ac:dyDescent="0.2">
      <c r="A285" s="80" t="s">
        <v>19</v>
      </c>
      <c r="B285" s="24" t="s">
        <v>31</v>
      </c>
      <c r="C285" s="24"/>
      <c r="D285" s="24"/>
      <c r="E285" s="24"/>
      <c r="F285" s="35">
        <f>F286</f>
        <v>400</v>
      </c>
    </row>
    <row r="286" spans="1:6" s="160" customFormat="1" ht="12" x14ac:dyDescent="0.2">
      <c r="A286" s="61" t="s">
        <v>655</v>
      </c>
      <c r="B286" s="24" t="s">
        <v>31</v>
      </c>
      <c r="C286" s="24" t="s">
        <v>216</v>
      </c>
      <c r="D286" s="24"/>
      <c r="E286" s="24"/>
      <c r="F286" s="35">
        <f>F287</f>
        <v>400</v>
      </c>
    </row>
    <row r="287" spans="1:6" s="160" customFormat="1" ht="12" x14ac:dyDescent="0.2">
      <c r="A287" s="61" t="s">
        <v>698</v>
      </c>
      <c r="B287" s="24" t="s">
        <v>31</v>
      </c>
      <c r="C287" s="24" t="s">
        <v>216</v>
      </c>
      <c r="D287" s="24" t="s">
        <v>823</v>
      </c>
      <c r="E287" s="24"/>
      <c r="F287" s="35">
        <f>F288</f>
        <v>400</v>
      </c>
    </row>
    <row r="288" spans="1:6" s="160" customFormat="1" ht="12" x14ac:dyDescent="0.2">
      <c r="A288" s="84" t="s">
        <v>473</v>
      </c>
      <c r="B288" s="30" t="s">
        <v>31</v>
      </c>
      <c r="C288" s="30" t="s">
        <v>216</v>
      </c>
      <c r="D288" s="30" t="s">
        <v>823</v>
      </c>
      <c r="E288" s="30" t="s">
        <v>226</v>
      </c>
      <c r="F288" s="116">
        <f>F289</f>
        <v>400</v>
      </c>
    </row>
    <row r="289" spans="1:6" s="160" customFormat="1" ht="24" x14ac:dyDescent="0.2">
      <c r="A289" s="84" t="s">
        <v>227</v>
      </c>
      <c r="B289" s="30" t="s">
        <v>31</v>
      </c>
      <c r="C289" s="30" t="s">
        <v>216</v>
      </c>
      <c r="D289" s="30" t="s">
        <v>823</v>
      </c>
      <c r="E289" s="30" t="s">
        <v>228</v>
      </c>
      <c r="F289" s="116">
        <v>400</v>
      </c>
    </row>
    <row r="290" spans="1:6" s="160" customFormat="1" ht="36" x14ac:dyDescent="0.2">
      <c r="A290" s="80" t="s">
        <v>27</v>
      </c>
      <c r="B290" s="24" t="s">
        <v>32</v>
      </c>
      <c r="C290" s="24"/>
      <c r="D290" s="24"/>
      <c r="E290" s="24"/>
      <c r="F290" s="35">
        <f>F291</f>
        <v>300</v>
      </c>
    </row>
    <row r="291" spans="1:6" s="160" customFormat="1" ht="12" x14ac:dyDescent="0.2">
      <c r="A291" s="61" t="s">
        <v>655</v>
      </c>
      <c r="B291" s="24" t="s">
        <v>32</v>
      </c>
      <c r="C291" s="24" t="s">
        <v>216</v>
      </c>
      <c r="D291" s="24"/>
      <c r="E291" s="24"/>
      <c r="F291" s="35">
        <f>F292</f>
        <v>300</v>
      </c>
    </row>
    <row r="292" spans="1:6" s="160" customFormat="1" ht="12" x14ac:dyDescent="0.2">
      <c r="A292" s="61" t="s">
        <v>698</v>
      </c>
      <c r="B292" s="24" t="s">
        <v>32</v>
      </c>
      <c r="C292" s="24" t="s">
        <v>216</v>
      </c>
      <c r="D292" s="24" t="s">
        <v>823</v>
      </c>
      <c r="E292" s="24"/>
      <c r="F292" s="35">
        <f>F293</f>
        <v>300</v>
      </c>
    </row>
    <row r="293" spans="1:6" s="160" customFormat="1" ht="12" x14ac:dyDescent="0.2">
      <c r="A293" s="84" t="s">
        <v>473</v>
      </c>
      <c r="B293" s="30" t="s">
        <v>32</v>
      </c>
      <c r="C293" s="30" t="s">
        <v>216</v>
      </c>
      <c r="D293" s="30" t="s">
        <v>823</v>
      </c>
      <c r="E293" s="30" t="s">
        <v>226</v>
      </c>
      <c r="F293" s="116">
        <f>F294</f>
        <v>300</v>
      </c>
    </row>
    <row r="294" spans="1:6" s="160" customFormat="1" ht="24" x14ac:dyDescent="0.2">
      <c r="A294" s="84" t="s">
        <v>227</v>
      </c>
      <c r="B294" s="30" t="s">
        <v>32</v>
      </c>
      <c r="C294" s="30" t="s">
        <v>216</v>
      </c>
      <c r="D294" s="30" t="s">
        <v>823</v>
      </c>
      <c r="E294" s="30" t="s">
        <v>228</v>
      </c>
      <c r="F294" s="116">
        <v>300</v>
      </c>
    </row>
    <row r="295" spans="1:6" s="160" customFormat="1" ht="27" x14ac:dyDescent="0.2">
      <c r="A295" s="152" t="s">
        <v>469</v>
      </c>
      <c r="B295" s="157" t="s">
        <v>406</v>
      </c>
      <c r="C295" s="154"/>
      <c r="D295" s="154"/>
      <c r="E295" s="155"/>
      <c r="F295" s="162">
        <f>F296</f>
        <v>1720</v>
      </c>
    </row>
    <row r="296" spans="1:6" s="160" customFormat="1" ht="36" x14ac:dyDescent="0.2">
      <c r="A296" s="80" t="s">
        <v>423</v>
      </c>
      <c r="B296" s="43" t="s">
        <v>193</v>
      </c>
      <c r="C296" s="24"/>
      <c r="D296" s="24"/>
      <c r="E296" s="37"/>
      <c r="F296" s="117">
        <f>F297</f>
        <v>1720</v>
      </c>
    </row>
    <row r="297" spans="1:6" s="160" customFormat="1" ht="12" x14ac:dyDescent="0.2">
      <c r="A297" s="74" t="s">
        <v>256</v>
      </c>
      <c r="B297" s="43" t="s">
        <v>193</v>
      </c>
      <c r="C297" s="24" t="s">
        <v>214</v>
      </c>
      <c r="D297" s="24"/>
      <c r="E297" s="37"/>
      <c r="F297" s="117">
        <f>F298</f>
        <v>1720</v>
      </c>
    </row>
    <row r="298" spans="1:6" s="160" customFormat="1" ht="12" x14ac:dyDescent="0.2">
      <c r="A298" s="74" t="s">
        <v>726</v>
      </c>
      <c r="B298" s="43" t="s">
        <v>193</v>
      </c>
      <c r="C298" s="24" t="s">
        <v>214</v>
      </c>
      <c r="D298" s="24" t="s">
        <v>235</v>
      </c>
      <c r="E298" s="37"/>
      <c r="F298" s="117">
        <f>F299</f>
        <v>1720</v>
      </c>
    </row>
    <row r="299" spans="1:6" s="160" customFormat="1" ht="12" x14ac:dyDescent="0.2">
      <c r="A299" s="84" t="s">
        <v>473</v>
      </c>
      <c r="B299" s="40" t="s">
        <v>193</v>
      </c>
      <c r="C299" s="30" t="s">
        <v>214</v>
      </c>
      <c r="D299" s="30" t="s">
        <v>235</v>
      </c>
      <c r="E299" s="31">
        <v>200</v>
      </c>
      <c r="F299" s="118">
        <f>F300</f>
        <v>1720</v>
      </c>
    </row>
    <row r="300" spans="1:6" s="160" customFormat="1" ht="24" x14ac:dyDescent="0.2">
      <c r="A300" s="84" t="s">
        <v>227</v>
      </c>
      <c r="B300" s="40" t="s">
        <v>193</v>
      </c>
      <c r="C300" s="30" t="s">
        <v>214</v>
      </c>
      <c r="D300" s="30" t="s">
        <v>235</v>
      </c>
      <c r="E300" s="31">
        <v>240</v>
      </c>
      <c r="F300" s="118">
        <v>1720</v>
      </c>
    </row>
    <row r="301" spans="1:6" s="160" customFormat="1" ht="27" x14ac:dyDescent="0.2">
      <c r="A301" s="152" t="s">
        <v>831</v>
      </c>
      <c r="B301" s="154" t="s">
        <v>323</v>
      </c>
      <c r="C301" s="163"/>
      <c r="D301" s="163"/>
      <c r="E301" s="163"/>
      <c r="F301" s="156">
        <f>F302+F355+F382+F405</f>
        <v>2567383.3336</v>
      </c>
    </row>
    <row r="302" spans="1:6" s="160" customFormat="1" ht="12" x14ac:dyDescent="0.2">
      <c r="A302" s="80" t="s">
        <v>445</v>
      </c>
      <c r="B302" s="24" t="s">
        <v>324</v>
      </c>
      <c r="C302" s="24"/>
      <c r="D302" s="24"/>
      <c r="E302" s="24"/>
      <c r="F302" s="42">
        <f>F303+F309+F320+F326+F332+F343+F349+F315+F338</f>
        <v>2507949.2535999999</v>
      </c>
    </row>
    <row r="303" spans="1:6" s="160" customFormat="1" ht="24" x14ac:dyDescent="0.2">
      <c r="A303" s="80" t="s">
        <v>446</v>
      </c>
      <c r="B303" s="24" t="s">
        <v>325</v>
      </c>
      <c r="C303" s="24"/>
      <c r="D303" s="24"/>
      <c r="E303" s="24"/>
      <c r="F303" s="42">
        <f>F304</f>
        <v>449717.15360000002</v>
      </c>
    </row>
    <row r="304" spans="1:6" s="160" customFormat="1" ht="12" x14ac:dyDescent="0.2">
      <c r="A304" s="61" t="s">
        <v>673</v>
      </c>
      <c r="B304" s="24" t="s">
        <v>832</v>
      </c>
      <c r="C304" s="24" t="s">
        <v>824</v>
      </c>
      <c r="D304" s="24"/>
      <c r="E304" s="25"/>
      <c r="F304" s="42">
        <f>F305</f>
        <v>449717.15360000002</v>
      </c>
    </row>
    <row r="305" spans="1:6" s="160" customFormat="1" ht="12" x14ac:dyDescent="0.2">
      <c r="A305" s="66" t="s">
        <v>674</v>
      </c>
      <c r="B305" s="24" t="s">
        <v>832</v>
      </c>
      <c r="C305" s="24" t="s">
        <v>824</v>
      </c>
      <c r="D305" s="24" t="s">
        <v>214</v>
      </c>
      <c r="E305" s="25"/>
      <c r="F305" s="42">
        <f>F306</f>
        <v>449717.15360000002</v>
      </c>
    </row>
    <row r="306" spans="1:6" s="160" customFormat="1" ht="24" x14ac:dyDescent="0.2">
      <c r="A306" s="84" t="s">
        <v>246</v>
      </c>
      <c r="B306" s="30" t="s">
        <v>832</v>
      </c>
      <c r="C306" s="30" t="s">
        <v>824</v>
      </c>
      <c r="D306" s="30" t="s">
        <v>214</v>
      </c>
      <c r="E306" s="30" t="s">
        <v>702</v>
      </c>
      <c r="F306" s="41">
        <f>F307+F308</f>
        <v>449717.15360000002</v>
      </c>
    </row>
    <row r="307" spans="1:6" s="160" customFormat="1" ht="12" x14ac:dyDescent="0.2">
      <c r="A307" s="84" t="s">
        <v>247</v>
      </c>
      <c r="B307" s="30" t="s">
        <v>832</v>
      </c>
      <c r="C307" s="30" t="s">
        <v>824</v>
      </c>
      <c r="D307" s="30" t="s">
        <v>214</v>
      </c>
      <c r="E307" s="30" t="s">
        <v>724</v>
      </c>
      <c r="F307" s="41">
        <f>470668.5-44882.2464-4122-2725.1-5648.5-1619.27513</f>
        <v>411671.37847</v>
      </c>
    </row>
    <row r="308" spans="1:6" s="160" customFormat="1" ht="12" x14ac:dyDescent="0.2">
      <c r="A308" s="84" t="s">
        <v>108</v>
      </c>
      <c r="B308" s="30" t="s">
        <v>832</v>
      </c>
      <c r="C308" s="30" t="s">
        <v>824</v>
      </c>
      <c r="D308" s="30" t="s">
        <v>214</v>
      </c>
      <c r="E308" s="30" t="s">
        <v>109</v>
      </c>
      <c r="F308" s="41">
        <f>32778-2000+5648.5+1619.27513</f>
        <v>38045.775130000002</v>
      </c>
    </row>
    <row r="309" spans="1:6" s="160" customFormat="1" ht="48" x14ac:dyDescent="0.2">
      <c r="A309" s="80" t="s">
        <v>656</v>
      </c>
      <c r="B309" s="24" t="s">
        <v>326</v>
      </c>
      <c r="C309" s="24"/>
      <c r="D309" s="24"/>
      <c r="E309" s="24"/>
      <c r="F309" s="42">
        <f>F310</f>
        <v>685235.19999999995</v>
      </c>
    </row>
    <row r="310" spans="1:6" s="160" customFormat="1" ht="12" x14ac:dyDescent="0.2">
      <c r="A310" s="61" t="s">
        <v>673</v>
      </c>
      <c r="B310" s="24" t="s">
        <v>326</v>
      </c>
      <c r="C310" s="24" t="s">
        <v>824</v>
      </c>
      <c r="D310" s="24"/>
      <c r="E310" s="25"/>
      <c r="F310" s="42">
        <f>F311</f>
        <v>685235.19999999995</v>
      </c>
    </row>
    <row r="311" spans="1:6" s="160" customFormat="1" ht="12" x14ac:dyDescent="0.2">
      <c r="A311" s="66" t="s">
        <v>674</v>
      </c>
      <c r="B311" s="24" t="s">
        <v>326</v>
      </c>
      <c r="C311" s="24" t="s">
        <v>824</v>
      </c>
      <c r="D311" s="24" t="s">
        <v>214</v>
      </c>
      <c r="E311" s="25"/>
      <c r="F311" s="42">
        <f>F312</f>
        <v>685235.19999999995</v>
      </c>
    </row>
    <row r="312" spans="1:6" s="160" customFormat="1" ht="24" x14ac:dyDescent="0.2">
      <c r="A312" s="84" t="s">
        <v>246</v>
      </c>
      <c r="B312" s="30" t="s">
        <v>326</v>
      </c>
      <c r="C312" s="30" t="s">
        <v>824</v>
      </c>
      <c r="D312" s="30" t="s">
        <v>214</v>
      </c>
      <c r="E312" s="30" t="s">
        <v>702</v>
      </c>
      <c r="F312" s="41">
        <f>F313+F314</f>
        <v>685235.19999999995</v>
      </c>
    </row>
    <row r="313" spans="1:6" s="160" customFormat="1" ht="12" x14ac:dyDescent="0.2">
      <c r="A313" s="84" t="s">
        <v>247</v>
      </c>
      <c r="B313" s="30" t="s">
        <v>326</v>
      </c>
      <c r="C313" s="30" t="s">
        <v>824</v>
      </c>
      <c r="D313" s="30" t="s">
        <v>214</v>
      </c>
      <c r="E313" s="30" t="s">
        <v>724</v>
      </c>
      <c r="F313" s="41">
        <v>643035.19999999995</v>
      </c>
    </row>
    <row r="314" spans="1:6" s="160" customFormat="1" ht="12" x14ac:dyDescent="0.2">
      <c r="A314" s="84" t="s">
        <v>108</v>
      </c>
      <c r="B314" s="30" t="s">
        <v>326</v>
      </c>
      <c r="C314" s="30" t="s">
        <v>824</v>
      </c>
      <c r="D314" s="30" t="s">
        <v>214</v>
      </c>
      <c r="E314" s="30" t="s">
        <v>109</v>
      </c>
      <c r="F314" s="41">
        <v>42200</v>
      </c>
    </row>
    <row r="315" spans="1:6" s="160" customFormat="1" ht="24" x14ac:dyDescent="0.2">
      <c r="A315" s="80" t="s">
        <v>491</v>
      </c>
      <c r="B315" s="24" t="s">
        <v>482</v>
      </c>
      <c r="C315" s="24"/>
      <c r="D315" s="24"/>
      <c r="E315" s="24"/>
      <c r="F315" s="42">
        <f>F316</f>
        <v>3079.9</v>
      </c>
    </row>
    <row r="316" spans="1:6" s="160" customFormat="1" ht="12" x14ac:dyDescent="0.2">
      <c r="A316" s="61" t="s">
        <v>673</v>
      </c>
      <c r="B316" s="24" t="s">
        <v>482</v>
      </c>
      <c r="C316" s="24" t="s">
        <v>824</v>
      </c>
      <c r="D316" s="24"/>
      <c r="E316" s="24"/>
      <c r="F316" s="42">
        <f>F317</f>
        <v>3079.9</v>
      </c>
    </row>
    <row r="317" spans="1:6" s="160" customFormat="1" ht="12" x14ac:dyDescent="0.2">
      <c r="A317" s="66" t="s">
        <v>674</v>
      </c>
      <c r="B317" s="24" t="s">
        <v>482</v>
      </c>
      <c r="C317" s="24" t="s">
        <v>824</v>
      </c>
      <c r="D317" s="24" t="s">
        <v>214</v>
      </c>
      <c r="E317" s="24"/>
      <c r="F317" s="42">
        <f>F318</f>
        <v>3079.9</v>
      </c>
    </row>
    <row r="318" spans="1:6" s="160" customFormat="1" ht="24" x14ac:dyDescent="0.2">
      <c r="A318" s="84" t="s">
        <v>246</v>
      </c>
      <c r="B318" s="30" t="s">
        <v>482</v>
      </c>
      <c r="C318" s="30" t="s">
        <v>824</v>
      </c>
      <c r="D318" s="30" t="s">
        <v>214</v>
      </c>
      <c r="E318" s="30" t="s">
        <v>702</v>
      </c>
      <c r="F318" s="41">
        <f>F319</f>
        <v>3079.9</v>
      </c>
    </row>
    <row r="319" spans="1:6" s="160" customFormat="1" ht="12" x14ac:dyDescent="0.2">
      <c r="A319" s="84" t="s">
        <v>247</v>
      </c>
      <c r="B319" s="30" t="s">
        <v>482</v>
      </c>
      <c r="C319" s="30" t="s">
        <v>824</v>
      </c>
      <c r="D319" s="30" t="s">
        <v>214</v>
      </c>
      <c r="E319" s="30" t="s">
        <v>724</v>
      </c>
      <c r="F319" s="41">
        <v>3079.9</v>
      </c>
    </row>
    <row r="320" spans="1:6" s="160" customFormat="1" ht="24" x14ac:dyDescent="0.2">
      <c r="A320" s="80" t="s">
        <v>447</v>
      </c>
      <c r="B320" s="24" t="s">
        <v>329</v>
      </c>
      <c r="C320" s="24"/>
      <c r="D320" s="24"/>
      <c r="E320" s="24"/>
      <c r="F320" s="42">
        <f>F321</f>
        <v>288167.8</v>
      </c>
    </row>
    <row r="321" spans="1:6" s="160" customFormat="1" ht="12" x14ac:dyDescent="0.2">
      <c r="A321" s="61" t="s">
        <v>673</v>
      </c>
      <c r="B321" s="24" t="s">
        <v>833</v>
      </c>
      <c r="C321" s="24" t="s">
        <v>824</v>
      </c>
      <c r="D321" s="24"/>
      <c r="E321" s="25"/>
      <c r="F321" s="42">
        <f>F322</f>
        <v>288167.8</v>
      </c>
    </row>
    <row r="322" spans="1:6" s="160" customFormat="1" ht="12" x14ac:dyDescent="0.2">
      <c r="A322" s="80" t="s">
        <v>675</v>
      </c>
      <c r="B322" s="24" t="s">
        <v>833</v>
      </c>
      <c r="C322" s="24" t="s">
        <v>824</v>
      </c>
      <c r="D322" s="24" t="s">
        <v>825</v>
      </c>
      <c r="E322" s="25"/>
      <c r="F322" s="42">
        <f>F323</f>
        <v>288167.8</v>
      </c>
    </row>
    <row r="323" spans="1:6" s="160" customFormat="1" ht="24" x14ac:dyDescent="0.2">
      <c r="A323" s="84" t="s">
        <v>246</v>
      </c>
      <c r="B323" s="30" t="s">
        <v>833</v>
      </c>
      <c r="C323" s="30" t="s">
        <v>824</v>
      </c>
      <c r="D323" s="30" t="s">
        <v>825</v>
      </c>
      <c r="E323" s="30" t="s">
        <v>702</v>
      </c>
      <c r="F323" s="41">
        <f>F324+F325</f>
        <v>288167.8</v>
      </c>
    </row>
    <row r="324" spans="1:6" s="160" customFormat="1" ht="12" x14ac:dyDescent="0.2">
      <c r="A324" s="84" t="s">
        <v>247</v>
      </c>
      <c r="B324" s="30" t="s">
        <v>833</v>
      </c>
      <c r="C324" s="30" t="s">
        <v>824</v>
      </c>
      <c r="D324" s="30" t="s">
        <v>825</v>
      </c>
      <c r="E324" s="30" t="s">
        <v>724</v>
      </c>
      <c r="F324" s="41">
        <f>282913.8-4400</f>
        <v>278513.8</v>
      </c>
    </row>
    <row r="325" spans="1:6" s="160" customFormat="1" ht="12" x14ac:dyDescent="0.2">
      <c r="A325" s="84" t="s">
        <v>108</v>
      </c>
      <c r="B325" s="30" t="s">
        <v>833</v>
      </c>
      <c r="C325" s="30" t="s">
        <v>824</v>
      </c>
      <c r="D325" s="30" t="s">
        <v>825</v>
      </c>
      <c r="E325" s="30" t="s">
        <v>109</v>
      </c>
      <c r="F325" s="41">
        <v>9654</v>
      </c>
    </row>
    <row r="326" spans="1:6" s="160" customFormat="1" ht="60" x14ac:dyDescent="0.2">
      <c r="A326" s="61" t="s">
        <v>664</v>
      </c>
      <c r="B326" s="24" t="s">
        <v>448</v>
      </c>
      <c r="C326" s="24"/>
      <c r="D326" s="24"/>
      <c r="E326" s="24"/>
      <c r="F326" s="42">
        <f>F327</f>
        <v>876443</v>
      </c>
    </row>
    <row r="327" spans="1:6" s="160" customFormat="1" ht="12" x14ac:dyDescent="0.2">
      <c r="A327" s="61" t="s">
        <v>673</v>
      </c>
      <c r="B327" s="24" t="s">
        <v>448</v>
      </c>
      <c r="C327" s="24" t="s">
        <v>824</v>
      </c>
      <c r="D327" s="24"/>
      <c r="E327" s="25"/>
      <c r="F327" s="42">
        <f>F328</f>
        <v>876443</v>
      </c>
    </row>
    <row r="328" spans="1:6" s="160" customFormat="1" ht="12" x14ac:dyDescent="0.2">
      <c r="A328" s="80" t="s">
        <v>675</v>
      </c>
      <c r="B328" s="24" t="s">
        <v>448</v>
      </c>
      <c r="C328" s="24" t="s">
        <v>824</v>
      </c>
      <c r="D328" s="24" t="s">
        <v>825</v>
      </c>
      <c r="E328" s="25"/>
      <c r="F328" s="42">
        <f>F329</f>
        <v>876443</v>
      </c>
    </row>
    <row r="329" spans="1:6" s="160" customFormat="1" ht="24" x14ac:dyDescent="0.2">
      <c r="A329" s="84" t="s">
        <v>246</v>
      </c>
      <c r="B329" s="30" t="s">
        <v>448</v>
      </c>
      <c r="C329" s="30" t="s">
        <v>824</v>
      </c>
      <c r="D329" s="30" t="s">
        <v>825</v>
      </c>
      <c r="E329" s="30" t="s">
        <v>702</v>
      </c>
      <c r="F329" s="41">
        <f>F330+F331</f>
        <v>876443</v>
      </c>
    </row>
    <row r="330" spans="1:6" s="160" customFormat="1" ht="12" x14ac:dyDescent="0.2">
      <c r="A330" s="84" t="s">
        <v>247</v>
      </c>
      <c r="B330" s="30" t="s">
        <v>448</v>
      </c>
      <c r="C330" s="30" t="s">
        <v>824</v>
      </c>
      <c r="D330" s="30" t="s">
        <v>825</v>
      </c>
      <c r="E330" s="30" t="s">
        <v>724</v>
      </c>
      <c r="F330" s="41">
        <f>837118+4600</f>
        <v>841718</v>
      </c>
    </row>
    <row r="331" spans="1:6" s="160" customFormat="1" ht="12" x14ac:dyDescent="0.2">
      <c r="A331" s="84" t="s">
        <v>108</v>
      </c>
      <c r="B331" s="30" t="s">
        <v>448</v>
      </c>
      <c r="C331" s="30" t="s">
        <v>824</v>
      </c>
      <c r="D331" s="30" t="s">
        <v>825</v>
      </c>
      <c r="E331" s="30" t="s">
        <v>109</v>
      </c>
      <c r="F331" s="41">
        <v>34725</v>
      </c>
    </row>
    <row r="332" spans="1:6" s="160" customFormat="1" ht="24" x14ac:dyDescent="0.2">
      <c r="A332" s="80" t="s">
        <v>450</v>
      </c>
      <c r="B332" s="24" t="s">
        <v>330</v>
      </c>
      <c r="C332" s="24"/>
      <c r="D332" s="24"/>
      <c r="E332" s="24"/>
      <c r="F332" s="42">
        <f>F333</f>
        <v>97634.2</v>
      </c>
    </row>
    <row r="333" spans="1:6" s="160" customFormat="1" ht="12" x14ac:dyDescent="0.2">
      <c r="A333" s="61" t="s">
        <v>673</v>
      </c>
      <c r="B333" s="24" t="s">
        <v>836</v>
      </c>
      <c r="C333" s="24" t="s">
        <v>824</v>
      </c>
      <c r="D333" s="24"/>
      <c r="E333" s="25"/>
      <c r="F333" s="42">
        <f>F334</f>
        <v>97634.2</v>
      </c>
    </row>
    <row r="334" spans="1:6" s="160" customFormat="1" ht="12" x14ac:dyDescent="0.2">
      <c r="A334" s="80" t="s">
        <v>449</v>
      </c>
      <c r="B334" s="24" t="s">
        <v>836</v>
      </c>
      <c r="C334" s="24" t="s">
        <v>824</v>
      </c>
      <c r="D334" s="24" t="s">
        <v>817</v>
      </c>
      <c r="E334" s="25"/>
      <c r="F334" s="42">
        <f>F335</f>
        <v>97634.2</v>
      </c>
    </row>
    <row r="335" spans="1:6" s="160" customFormat="1" ht="24" x14ac:dyDescent="0.2">
      <c r="A335" s="84" t="s">
        <v>246</v>
      </c>
      <c r="B335" s="30" t="s">
        <v>836</v>
      </c>
      <c r="C335" s="30" t="s">
        <v>824</v>
      </c>
      <c r="D335" s="30" t="s">
        <v>817</v>
      </c>
      <c r="E335" s="30" t="s">
        <v>702</v>
      </c>
      <c r="F335" s="41">
        <f>F336+F337</f>
        <v>97634.2</v>
      </c>
    </row>
    <row r="336" spans="1:6" s="160" customFormat="1" ht="12" x14ac:dyDescent="0.2">
      <c r="A336" s="84" t="s">
        <v>247</v>
      </c>
      <c r="B336" s="30" t="s">
        <v>836</v>
      </c>
      <c r="C336" s="30" t="s">
        <v>824</v>
      </c>
      <c r="D336" s="30" t="s">
        <v>817</v>
      </c>
      <c r="E336" s="30" t="s">
        <v>724</v>
      </c>
      <c r="F336" s="41">
        <v>2873</v>
      </c>
    </row>
    <row r="337" spans="1:6" s="160" customFormat="1" ht="12" x14ac:dyDescent="0.2">
      <c r="A337" s="84" t="s">
        <v>108</v>
      </c>
      <c r="B337" s="30" t="s">
        <v>836</v>
      </c>
      <c r="C337" s="30" t="s">
        <v>824</v>
      </c>
      <c r="D337" s="30" t="s">
        <v>817</v>
      </c>
      <c r="E337" s="30" t="s">
        <v>109</v>
      </c>
      <c r="F337" s="41">
        <v>94761.2</v>
      </c>
    </row>
    <row r="338" spans="1:6" s="160" customFormat="1" ht="24" x14ac:dyDescent="0.2">
      <c r="A338" s="80" t="s">
        <v>481</v>
      </c>
      <c r="B338" s="24" t="s">
        <v>482</v>
      </c>
      <c r="C338" s="24"/>
      <c r="D338" s="24"/>
      <c r="E338" s="24"/>
      <c r="F338" s="42">
        <f>F339</f>
        <v>500</v>
      </c>
    </row>
    <row r="339" spans="1:6" s="160" customFormat="1" ht="12" x14ac:dyDescent="0.2">
      <c r="A339" s="61" t="s">
        <v>673</v>
      </c>
      <c r="B339" s="24" t="s">
        <v>482</v>
      </c>
      <c r="C339" s="24" t="s">
        <v>824</v>
      </c>
      <c r="D339" s="24"/>
      <c r="E339" s="24"/>
      <c r="F339" s="42">
        <f>F340</f>
        <v>500</v>
      </c>
    </row>
    <row r="340" spans="1:6" s="160" customFormat="1" ht="12" x14ac:dyDescent="0.2">
      <c r="A340" s="80" t="s">
        <v>449</v>
      </c>
      <c r="B340" s="24" t="s">
        <v>482</v>
      </c>
      <c r="C340" s="24" t="s">
        <v>824</v>
      </c>
      <c r="D340" s="24" t="s">
        <v>817</v>
      </c>
      <c r="E340" s="24"/>
      <c r="F340" s="42">
        <f>F341</f>
        <v>500</v>
      </c>
    </row>
    <row r="341" spans="1:6" s="160" customFormat="1" ht="24" x14ac:dyDescent="0.2">
      <c r="A341" s="84" t="s">
        <v>246</v>
      </c>
      <c r="B341" s="30" t="s">
        <v>482</v>
      </c>
      <c r="C341" s="30" t="s">
        <v>824</v>
      </c>
      <c r="D341" s="30" t="s">
        <v>817</v>
      </c>
      <c r="E341" s="30" t="s">
        <v>702</v>
      </c>
      <c r="F341" s="41">
        <f>F342</f>
        <v>500</v>
      </c>
    </row>
    <row r="342" spans="1:6" s="160" customFormat="1" ht="12" x14ac:dyDescent="0.2">
      <c r="A342" s="84" t="s">
        <v>108</v>
      </c>
      <c r="B342" s="30" t="s">
        <v>482</v>
      </c>
      <c r="C342" s="30" t="s">
        <v>824</v>
      </c>
      <c r="D342" s="30" t="s">
        <v>817</v>
      </c>
      <c r="E342" s="30" t="s">
        <v>109</v>
      </c>
      <c r="F342" s="41">
        <v>500</v>
      </c>
    </row>
    <row r="343" spans="1:6" s="160" customFormat="1" ht="24" x14ac:dyDescent="0.2">
      <c r="A343" s="80" t="s">
        <v>452</v>
      </c>
      <c r="B343" s="24" t="s">
        <v>451</v>
      </c>
      <c r="C343" s="24"/>
      <c r="D343" s="24"/>
      <c r="E343" s="24"/>
      <c r="F343" s="42">
        <f>F344</f>
        <v>10000</v>
      </c>
    </row>
    <row r="344" spans="1:6" s="160" customFormat="1" ht="12" x14ac:dyDescent="0.2">
      <c r="A344" s="61" t="s">
        <v>673</v>
      </c>
      <c r="B344" s="24" t="s">
        <v>837</v>
      </c>
      <c r="C344" s="24" t="s">
        <v>824</v>
      </c>
      <c r="D344" s="24"/>
      <c r="E344" s="25"/>
      <c r="F344" s="42">
        <f>F345</f>
        <v>10000</v>
      </c>
    </row>
    <row r="345" spans="1:6" s="160" customFormat="1" ht="12" x14ac:dyDescent="0.2">
      <c r="A345" s="80" t="s">
        <v>677</v>
      </c>
      <c r="B345" s="24" t="s">
        <v>837</v>
      </c>
      <c r="C345" s="24" t="s">
        <v>824</v>
      </c>
      <c r="D345" s="24" t="s">
        <v>818</v>
      </c>
      <c r="E345" s="25"/>
      <c r="F345" s="42">
        <f>F346</f>
        <v>10000</v>
      </c>
    </row>
    <row r="346" spans="1:6" s="160" customFormat="1" ht="24" x14ac:dyDescent="0.2">
      <c r="A346" s="84" t="s">
        <v>246</v>
      </c>
      <c r="B346" s="30" t="s">
        <v>837</v>
      </c>
      <c r="C346" s="30" t="s">
        <v>824</v>
      </c>
      <c r="D346" s="30" t="s">
        <v>818</v>
      </c>
      <c r="E346" s="30" t="s">
        <v>702</v>
      </c>
      <c r="F346" s="41">
        <f>F347+F348</f>
        <v>10000</v>
      </c>
    </row>
    <row r="347" spans="1:6" s="160" customFormat="1" ht="12" x14ac:dyDescent="0.2">
      <c r="A347" s="84" t="s">
        <v>247</v>
      </c>
      <c r="B347" s="30" t="s">
        <v>837</v>
      </c>
      <c r="C347" s="30" t="s">
        <v>824</v>
      </c>
      <c r="D347" s="30" t="s">
        <v>818</v>
      </c>
      <c r="E347" s="30" t="s">
        <v>724</v>
      </c>
      <c r="F347" s="41">
        <v>9800</v>
      </c>
    </row>
    <row r="348" spans="1:6" s="160" customFormat="1" ht="12" x14ac:dyDescent="0.2">
      <c r="A348" s="84" t="s">
        <v>108</v>
      </c>
      <c r="B348" s="30" t="s">
        <v>837</v>
      </c>
      <c r="C348" s="30" t="s">
        <v>824</v>
      </c>
      <c r="D348" s="30" t="s">
        <v>818</v>
      </c>
      <c r="E348" s="30" t="s">
        <v>109</v>
      </c>
      <c r="F348" s="41">
        <v>200</v>
      </c>
    </row>
    <row r="349" spans="1:6" s="160" customFormat="1" ht="24" x14ac:dyDescent="0.2">
      <c r="A349" s="80" t="s">
        <v>459</v>
      </c>
      <c r="B349" s="24" t="s">
        <v>453</v>
      </c>
      <c r="C349" s="30"/>
      <c r="D349" s="30"/>
      <c r="E349" s="24"/>
      <c r="F349" s="42">
        <f>F350</f>
        <v>97172</v>
      </c>
    </row>
    <row r="350" spans="1:6" s="160" customFormat="1" ht="12" x14ac:dyDescent="0.2">
      <c r="A350" s="61" t="s">
        <v>673</v>
      </c>
      <c r="B350" s="24" t="s">
        <v>838</v>
      </c>
      <c r="C350" s="24" t="s">
        <v>824</v>
      </c>
      <c r="D350" s="24"/>
      <c r="E350" s="25"/>
      <c r="F350" s="42">
        <f>F351</f>
        <v>97172</v>
      </c>
    </row>
    <row r="351" spans="1:6" s="160" customFormat="1" ht="12" x14ac:dyDescent="0.2">
      <c r="A351" s="80" t="s">
        <v>677</v>
      </c>
      <c r="B351" s="24" t="s">
        <v>838</v>
      </c>
      <c r="C351" s="24" t="s">
        <v>824</v>
      </c>
      <c r="D351" s="24" t="s">
        <v>818</v>
      </c>
      <c r="E351" s="25"/>
      <c r="F351" s="42">
        <f>F352</f>
        <v>97172</v>
      </c>
    </row>
    <row r="352" spans="1:6" s="160" customFormat="1" ht="24" x14ac:dyDescent="0.2">
      <c r="A352" s="84" t="s">
        <v>246</v>
      </c>
      <c r="B352" s="30" t="s">
        <v>838</v>
      </c>
      <c r="C352" s="30" t="s">
        <v>824</v>
      </c>
      <c r="D352" s="30" t="s">
        <v>818</v>
      </c>
      <c r="E352" s="30" t="s">
        <v>702</v>
      </c>
      <c r="F352" s="41">
        <f>F353+F354</f>
        <v>97172</v>
      </c>
    </row>
    <row r="353" spans="1:6" s="160" customFormat="1" ht="12" x14ac:dyDescent="0.2">
      <c r="A353" s="84" t="s">
        <v>247</v>
      </c>
      <c r="B353" s="30" t="s">
        <v>838</v>
      </c>
      <c r="C353" s="30" t="s">
        <v>824</v>
      </c>
      <c r="D353" s="30" t="s">
        <v>818</v>
      </c>
      <c r="E353" s="30" t="s">
        <v>724</v>
      </c>
      <c r="F353" s="41">
        <f>95308.55-2388.5-3885</f>
        <v>89035.05</v>
      </c>
    </row>
    <row r="354" spans="1:6" s="160" customFormat="1" ht="12" x14ac:dyDescent="0.2">
      <c r="A354" s="84" t="s">
        <v>108</v>
      </c>
      <c r="B354" s="30" t="s">
        <v>838</v>
      </c>
      <c r="C354" s="30" t="s">
        <v>824</v>
      </c>
      <c r="D354" s="30" t="s">
        <v>818</v>
      </c>
      <c r="E354" s="30" t="s">
        <v>109</v>
      </c>
      <c r="F354" s="41">
        <f>6028.45+2388.5-280</f>
        <v>8136.9500000000007</v>
      </c>
    </row>
    <row r="355" spans="1:6" s="160" customFormat="1" ht="12" x14ac:dyDescent="0.2">
      <c r="A355" s="80" t="s">
        <v>790</v>
      </c>
      <c r="B355" s="24" t="s">
        <v>331</v>
      </c>
      <c r="C355" s="24"/>
      <c r="D355" s="24"/>
      <c r="E355" s="24"/>
      <c r="F355" s="42">
        <f>F356+F366+F373</f>
        <v>6120</v>
      </c>
    </row>
    <row r="356" spans="1:6" s="160" customFormat="1" ht="25.5" x14ac:dyDescent="0.2">
      <c r="A356" s="68" t="s">
        <v>334</v>
      </c>
      <c r="B356" s="24" t="s">
        <v>289</v>
      </c>
      <c r="C356" s="24"/>
      <c r="D356" s="24"/>
      <c r="E356" s="25"/>
      <c r="F356" s="42">
        <f>F357</f>
        <v>3935</v>
      </c>
    </row>
    <row r="357" spans="1:6" s="160" customFormat="1" ht="15" customHeight="1" x14ac:dyDescent="0.2">
      <c r="A357" s="80" t="s">
        <v>819</v>
      </c>
      <c r="B357" s="24" t="s">
        <v>839</v>
      </c>
      <c r="C357" s="24"/>
      <c r="D357" s="24"/>
      <c r="E357" s="24"/>
      <c r="F357" s="42">
        <f>F358</f>
        <v>3935</v>
      </c>
    </row>
    <row r="358" spans="1:6" s="160" customFormat="1" ht="12" x14ac:dyDescent="0.2">
      <c r="A358" s="61" t="s">
        <v>673</v>
      </c>
      <c r="B358" s="24" t="s">
        <v>839</v>
      </c>
      <c r="C358" s="24" t="s">
        <v>824</v>
      </c>
      <c r="D358" s="24"/>
      <c r="E358" s="25"/>
      <c r="F358" s="42">
        <f>F359</f>
        <v>3935</v>
      </c>
    </row>
    <row r="359" spans="1:6" s="160" customFormat="1" ht="12" x14ac:dyDescent="0.2">
      <c r="A359" s="80" t="s">
        <v>677</v>
      </c>
      <c r="B359" s="24" t="s">
        <v>839</v>
      </c>
      <c r="C359" s="24" t="s">
        <v>824</v>
      </c>
      <c r="D359" s="24" t="s">
        <v>818</v>
      </c>
      <c r="E359" s="25"/>
      <c r="F359" s="42">
        <f>F360+F362+F364</f>
        <v>3935</v>
      </c>
    </row>
    <row r="360" spans="1:6" s="160" customFormat="1" ht="36" x14ac:dyDescent="0.2">
      <c r="A360" s="84" t="s">
        <v>217</v>
      </c>
      <c r="B360" s="30" t="s">
        <v>839</v>
      </c>
      <c r="C360" s="30" t="s">
        <v>824</v>
      </c>
      <c r="D360" s="30" t="s">
        <v>818</v>
      </c>
      <c r="E360" s="30" t="s">
        <v>218</v>
      </c>
      <c r="F360" s="41">
        <f>F361</f>
        <v>3750</v>
      </c>
    </row>
    <row r="361" spans="1:6" s="160" customFormat="1" ht="12" x14ac:dyDescent="0.2">
      <c r="A361" s="84" t="s">
        <v>820</v>
      </c>
      <c r="B361" s="30" t="s">
        <v>839</v>
      </c>
      <c r="C361" s="30" t="s">
        <v>824</v>
      </c>
      <c r="D361" s="30" t="s">
        <v>818</v>
      </c>
      <c r="E361" s="30" t="s">
        <v>821</v>
      </c>
      <c r="F361" s="41">
        <f>2765+835+150</f>
        <v>3750</v>
      </c>
    </row>
    <row r="362" spans="1:6" s="160" customFormat="1" ht="12" x14ac:dyDescent="0.2">
      <c r="A362" s="84" t="s">
        <v>473</v>
      </c>
      <c r="B362" s="30" t="s">
        <v>839</v>
      </c>
      <c r="C362" s="30" t="s">
        <v>824</v>
      </c>
      <c r="D362" s="30" t="s">
        <v>818</v>
      </c>
      <c r="E362" s="30" t="s">
        <v>226</v>
      </c>
      <c r="F362" s="41">
        <f>F363</f>
        <v>180</v>
      </c>
    </row>
    <row r="363" spans="1:6" s="160" customFormat="1" ht="24" x14ac:dyDescent="0.2">
      <c r="A363" s="84" t="s">
        <v>227</v>
      </c>
      <c r="B363" s="30" t="s">
        <v>839</v>
      </c>
      <c r="C363" s="30" t="s">
        <v>824</v>
      </c>
      <c r="D363" s="30" t="s">
        <v>818</v>
      </c>
      <c r="E363" s="30" t="s">
        <v>228</v>
      </c>
      <c r="F363" s="41">
        <v>180</v>
      </c>
    </row>
    <row r="364" spans="1:6" s="160" customFormat="1" ht="12" x14ac:dyDescent="0.2">
      <c r="A364" s="84" t="s">
        <v>229</v>
      </c>
      <c r="B364" s="30" t="s">
        <v>839</v>
      </c>
      <c r="C364" s="30" t="s">
        <v>824</v>
      </c>
      <c r="D364" s="30" t="s">
        <v>818</v>
      </c>
      <c r="E364" s="30" t="s">
        <v>230</v>
      </c>
      <c r="F364" s="103">
        <f>F365</f>
        <v>5</v>
      </c>
    </row>
    <row r="365" spans="1:6" s="160" customFormat="1" ht="12" x14ac:dyDescent="0.2">
      <c r="A365" s="84" t="s">
        <v>311</v>
      </c>
      <c r="B365" s="30" t="s">
        <v>839</v>
      </c>
      <c r="C365" s="30" t="s">
        <v>824</v>
      </c>
      <c r="D365" s="30" t="s">
        <v>818</v>
      </c>
      <c r="E365" s="30" t="s">
        <v>231</v>
      </c>
      <c r="F365" s="103">
        <v>5</v>
      </c>
    </row>
    <row r="366" spans="1:6" s="160" customFormat="1" ht="36" x14ac:dyDescent="0.2">
      <c r="A366" s="75" t="s">
        <v>460</v>
      </c>
      <c r="B366" s="24" t="s">
        <v>840</v>
      </c>
      <c r="C366" s="24"/>
      <c r="D366" s="24"/>
      <c r="E366" s="24"/>
      <c r="F366" s="42">
        <f>F367</f>
        <v>1635</v>
      </c>
    </row>
    <row r="367" spans="1:6" s="160" customFormat="1" ht="12" x14ac:dyDescent="0.2">
      <c r="A367" s="61" t="s">
        <v>673</v>
      </c>
      <c r="B367" s="24" t="s">
        <v>840</v>
      </c>
      <c r="C367" s="24" t="s">
        <v>824</v>
      </c>
      <c r="D367" s="24"/>
      <c r="E367" s="25"/>
      <c r="F367" s="42">
        <f>F368</f>
        <v>1635</v>
      </c>
    </row>
    <row r="368" spans="1:6" s="160" customFormat="1" ht="12" x14ac:dyDescent="0.2">
      <c r="A368" s="80" t="s">
        <v>677</v>
      </c>
      <c r="B368" s="24" t="s">
        <v>840</v>
      </c>
      <c r="C368" s="24" t="s">
        <v>824</v>
      </c>
      <c r="D368" s="24" t="s">
        <v>818</v>
      </c>
      <c r="E368" s="25"/>
      <c r="F368" s="42">
        <f>F369+F371</f>
        <v>1635</v>
      </c>
    </row>
    <row r="369" spans="1:6" s="160" customFormat="1" ht="36" x14ac:dyDescent="0.2">
      <c r="A369" s="84" t="s">
        <v>217</v>
      </c>
      <c r="B369" s="30" t="s">
        <v>840</v>
      </c>
      <c r="C369" s="30" t="s">
        <v>824</v>
      </c>
      <c r="D369" s="30" t="s">
        <v>818</v>
      </c>
      <c r="E369" s="30" t="s">
        <v>218</v>
      </c>
      <c r="F369" s="41">
        <f>F370</f>
        <v>325</v>
      </c>
    </row>
    <row r="370" spans="1:6" s="160" customFormat="1" ht="12" x14ac:dyDescent="0.2">
      <c r="A370" s="84" t="s">
        <v>820</v>
      </c>
      <c r="B370" s="30" t="s">
        <v>840</v>
      </c>
      <c r="C370" s="30" t="s">
        <v>824</v>
      </c>
      <c r="D370" s="30" t="s">
        <v>818</v>
      </c>
      <c r="E370" s="30" t="s">
        <v>821</v>
      </c>
      <c r="F370" s="41">
        <f>250+75</f>
        <v>325</v>
      </c>
    </row>
    <row r="371" spans="1:6" s="160" customFormat="1" ht="12" x14ac:dyDescent="0.2">
      <c r="A371" s="84" t="s">
        <v>473</v>
      </c>
      <c r="B371" s="30" t="s">
        <v>840</v>
      </c>
      <c r="C371" s="30" t="s">
        <v>824</v>
      </c>
      <c r="D371" s="30" t="s">
        <v>818</v>
      </c>
      <c r="E371" s="30" t="s">
        <v>226</v>
      </c>
      <c r="F371" s="41">
        <f>F372</f>
        <v>1310</v>
      </c>
    </row>
    <row r="372" spans="1:6" s="160" customFormat="1" ht="24" x14ac:dyDescent="0.2">
      <c r="A372" s="84" t="s">
        <v>227</v>
      </c>
      <c r="B372" s="30" t="s">
        <v>840</v>
      </c>
      <c r="C372" s="30" t="s">
        <v>824</v>
      </c>
      <c r="D372" s="30" t="s">
        <v>818</v>
      </c>
      <c r="E372" s="30" t="s">
        <v>228</v>
      </c>
      <c r="F372" s="41">
        <f>1535-150-75</f>
        <v>1310</v>
      </c>
    </row>
    <row r="373" spans="1:6" s="160" customFormat="1" ht="48" x14ac:dyDescent="0.2">
      <c r="A373" s="75" t="s">
        <v>788</v>
      </c>
      <c r="B373" s="24" t="s">
        <v>841</v>
      </c>
      <c r="C373" s="24"/>
      <c r="D373" s="24"/>
      <c r="E373" s="24"/>
      <c r="F373" s="42">
        <f>F374</f>
        <v>550</v>
      </c>
    </row>
    <row r="374" spans="1:6" s="160" customFormat="1" ht="12" x14ac:dyDescent="0.2">
      <c r="A374" s="61" t="s">
        <v>673</v>
      </c>
      <c r="B374" s="24" t="s">
        <v>841</v>
      </c>
      <c r="C374" s="24" t="s">
        <v>824</v>
      </c>
      <c r="D374" s="24"/>
      <c r="E374" s="25"/>
      <c r="F374" s="42">
        <f>F375</f>
        <v>550</v>
      </c>
    </row>
    <row r="375" spans="1:6" s="160" customFormat="1" ht="12" x14ac:dyDescent="0.2">
      <c r="A375" s="80" t="s">
        <v>677</v>
      </c>
      <c r="B375" s="24" t="s">
        <v>841</v>
      </c>
      <c r="C375" s="24" t="s">
        <v>824</v>
      </c>
      <c r="D375" s="24" t="s">
        <v>818</v>
      </c>
      <c r="E375" s="25"/>
      <c r="F375" s="42">
        <f>F376+F378+F380</f>
        <v>550</v>
      </c>
    </row>
    <row r="376" spans="1:6" s="160" customFormat="1" ht="36" x14ac:dyDescent="0.2">
      <c r="A376" s="84" t="s">
        <v>217</v>
      </c>
      <c r="B376" s="30" t="s">
        <v>841</v>
      </c>
      <c r="C376" s="30" t="s">
        <v>824</v>
      </c>
      <c r="D376" s="30" t="s">
        <v>818</v>
      </c>
      <c r="E376" s="30" t="s">
        <v>218</v>
      </c>
      <c r="F376" s="41">
        <f>F377</f>
        <v>204.8</v>
      </c>
    </row>
    <row r="377" spans="1:6" s="160" customFormat="1" ht="12" x14ac:dyDescent="0.2">
      <c r="A377" s="84" t="s">
        <v>820</v>
      </c>
      <c r="B377" s="30" t="s">
        <v>841</v>
      </c>
      <c r="C377" s="30" t="s">
        <v>824</v>
      </c>
      <c r="D377" s="30" t="s">
        <v>818</v>
      </c>
      <c r="E377" s="30" t="s">
        <v>821</v>
      </c>
      <c r="F377" s="41">
        <f>250-45.2</f>
        <v>204.8</v>
      </c>
    </row>
    <row r="378" spans="1:6" s="160" customFormat="1" ht="12" x14ac:dyDescent="0.2">
      <c r="A378" s="84" t="s">
        <v>473</v>
      </c>
      <c r="B378" s="30" t="s">
        <v>841</v>
      </c>
      <c r="C378" s="30" t="s">
        <v>824</v>
      </c>
      <c r="D378" s="30" t="s">
        <v>818</v>
      </c>
      <c r="E378" s="30" t="s">
        <v>226</v>
      </c>
      <c r="F378" s="41">
        <f>F379</f>
        <v>204.88</v>
      </c>
    </row>
    <row r="379" spans="1:6" s="160" customFormat="1" ht="24" x14ac:dyDescent="0.2">
      <c r="A379" s="84" t="s">
        <v>227</v>
      </c>
      <c r="B379" s="30" t="s">
        <v>841</v>
      </c>
      <c r="C379" s="30" t="s">
        <v>824</v>
      </c>
      <c r="D379" s="30" t="s">
        <v>818</v>
      </c>
      <c r="E379" s="30" t="s">
        <v>228</v>
      </c>
      <c r="F379" s="41">
        <f>300-95.12</f>
        <v>204.88</v>
      </c>
    </row>
    <row r="380" spans="1:6" s="160" customFormat="1" ht="12" x14ac:dyDescent="0.2">
      <c r="A380" s="84" t="s">
        <v>237</v>
      </c>
      <c r="B380" s="30" t="s">
        <v>841</v>
      </c>
      <c r="C380" s="30" t="s">
        <v>824</v>
      </c>
      <c r="D380" s="30" t="s">
        <v>818</v>
      </c>
      <c r="E380" s="30" t="s">
        <v>236</v>
      </c>
      <c r="F380" s="41">
        <f>F381</f>
        <v>140.32</v>
      </c>
    </row>
    <row r="381" spans="1:6" s="160" customFormat="1" ht="12.75" customHeight="1" x14ac:dyDescent="0.2">
      <c r="A381" s="84" t="s">
        <v>503</v>
      </c>
      <c r="B381" s="30" t="s">
        <v>841</v>
      </c>
      <c r="C381" s="30" t="s">
        <v>824</v>
      </c>
      <c r="D381" s="30" t="s">
        <v>818</v>
      </c>
      <c r="E381" s="30" t="s">
        <v>504</v>
      </c>
      <c r="F381" s="41">
        <f>95.12+45.2</f>
        <v>140.32</v>
      </c>
    </row>
    <row r="382" spans="1:6" s="160" customFormat="1" ht="12" x14ac:dyDescent="0.2">
      <c r="A382" s="80" t="s">
        <v>461</v>
      </c>
      <c r="B382" s="24" t="s">
        <v>332</v>
      </c>
      <c r="C382" s="24"/>
      <c r="D382" s="24"/>
      <c r="E382" s="24"/>
      <c r="F382" s="42">
        <f>F383+F389+F394+F400</f>
        <v>43688.08</v>
      </c>
    </row>
    <row r="383" spans="1:6" s="160" customFormat="1" ht="36" x14ac:dyDescent="0.2">
      <c r="A383" s="80" t="s">
        <v>299</v>
      </c>
      <c r="B383" s="24" t="s">
        <v>463</v>
      </c>
      <c r="C383" s="24"/>
      <c r="D383" s="24"/>
      <c r="E383" s="24"/>
      <c r="F383" s="42">
        <f>F384</f>
        <v>9588.0799999999981</v>
      </c>
    </row>
    <row r="384" spans="1:6" s="160" customFormat="1" ht="12" x14ac:dyDescent="0.2">
      <c r="A384" s="61" t="s">
        <v>700</v>
      </c>
      <c r="B384" s="24" t="s">
        <v>463</v>
      </c>
      <c r="C384" s="24" t="s">
        <v>107</v>
      </c>
      <c r="D384" s="24"/>
      <c r="E384" s="24"/>
      <c r="F384" s="42">
        <f>F385</f>
        <v>9588.0799999999981</v>
      </c>
    </row>
    <row r="385" spans="1:6" s="160" customFormat="1" ht="12" x14ac:dyDescent="0.2">
      <c r="A385" s="80" t="s">
        <v>687</v>
      </c>
      <c r="B385" s="24" t="s">
        <v>463</v>
      </c>
      <c r="C385" s="24" t="s">
        <v>107</v>
      </c>
      <c r="D385" s="24" t="s">
        <v>817</v>
      </c>
      <c r="E385" s="24"/>
      <c r="F385" s="42">
        <f>F386</f>
        <v>9588.0799999999981</v>
      </c>
    </row>
    <row r="386" spans="1:6" s="39" customFormat="1" ht="24" x14ac:dyDescent="0.2">
      <c r="A386" s="84" t="s">
        <v>246</v>
      </c>
      <c r="B386" s="30" t="s">
        <v>463</v>
      </c>
      <c r="C386" s="30" t="s">
        <v>107</v>
      </c>
      <c r="D386" s="30" t="s">
        <v>817</v>
      </c>
      <c r="E386" s="30" t="s">
        <v>702</v>
      </c>
      <c r="F386" s="41">
        <f>F387+F388</f>
        <v>9588.0799999999981</v>
      </c>
    </row>
    <row r="387" spans="1:6" s="39" customFormat="1" ht="15" x14ac:dyDescent="0.2">
      <c r="A387" s="84" t="s">
        <v>247</v>
      </c>
      <c r="B387" s="30" t="s">
        <v>463</v>
      </c>
      <c r="C387" s="30" t="s">
        <v>107</v>
      </c>
      <c r="D387" s="30" t="s">
        <v>817</v>
      </c>
      <c r="E387" s="30" t="s">
        <v>724</v>
      </c>
      <c r="F387" s="41">
        <f>16260-7056.22</f>
        <v>9203.7799999999988</v>
      </c>
    </row>
    <row r="388" spans="1:6" s="39" customFormat="1" ht="15" x14ac:dyDescent="0.2">
      <c r="A388" s="84" t="s">
        <v>108</v>
      </c>
      <c r="B388" s="30" t="s">
        <v>463</v>
      </c>
      <c r="C388" s="30" t="s">
        <v>107</v>
      </c>
      <c r="D388" s="30" t="s">
        <v>817</v>
      </c>
      <c r="E388" s="30" t="s">
        <v>109</v>
      </c>
      <c r="F388" s="41">
        <f>700-315.7</f>
        <v>384.3</v>
      </c>
    </row>
    <row r="389" spans="1:6" s="39" customFormat="1" ht="24" x14ac:dyDescent="0.2">
      <c r="A389" s="75" t="s">
        <v>341</v>
      </c>
      <c r="B389" s="24" t="s">
        <v>842</v>
      </c>
      <c r="C389" s="24"/>
      <c r="D389" s="24"/>
      <c r="E389" s="24"/>
      <c r="F389" s="42">
        <f>F390</f>
        <v>600</v>
      </c>
    </row>
    <row r="390" spans="1:6" s="39" customFormat="1" ht="15" x14ac:dyDescent="0.2">
      <c r="A390" s="61" t="s">
        <v>700</v>
      </c>
      <c r="B390" s="24" t="s">
        <v>842</v>
      </c>
      <c r="C390" s="24" t="s">
        <v>107</v>
      </c>
      <c r="D390" s="24"/>
      <c r="E390" s="24"/>
      <c r="F390" s="42">
        <f>F391</f>
        <v>600</v>
      </c>
    </row>
    <row r="391" spans="1:6" s="39" customFormat="1" ht="15" x14ac:dyDescent="0.2">
      <c r="A391" s="80" t="s">
        <v>687</v>
      </c>
      <c r="B391" s="24" t="s">
        <v>842</v>
      </c>
      <c r="C391" s="24" t="s">
        <v>107</v>
      </c>
      <c r="D391" s="24" t="s">
        <v>817</v>
      </c>
      <c r="E391" s="24"/>
      <c r="F391" s="42">
        <f>F392</f>
        <v>600</v>
      </c>
    </row>
    <row r="392" spans="1:6" s="39" customFormat="1" ht="15" x14ac:dyDescent="0.2">
      <c r="A392" s="84" t="s">
        <v>237</v>
      </c>
      <c r="B392" s="30" t="s">
        <v>842</v>
      </c>
      <c r="C392" s="30" t="s">
        <v>107</v>
      </c>
      <c r="D392" s="30" t="s">
        <v>817</v>
      </c>
      <c r="E392" s="30" t="s">
        <v>236</v>
      </c>
      <c r="F392" s="41">
        <f>F393</f>
        <v>600</v>
      </c>
    </row>
    <row r="393" spans="1:6" s="39" customFormat="1" ht="15" x14ac:dyDescent="0.2">
      <c r="A393" s="84" t="s">
        <v>238</v>
      </c>
      <c r="B393" s="30" t="s">
        <v>842</v>
      </c>
      <c r="C393" s="30" t="s">
        <v>107</v>
      </c>
      <c r="D393" s="30" t="s">
        <v>817</v>
      </c>
      <c r="E393" s="30" t="s">
        <v>239</v>
      </c>
      <c r="F393" s="41">
        <v>600</v>
      </c>
    </row>
    <row r="394" spans="1:6" s="39" customFormat="1" ht="15" x14ac:dyDescent="0.2">
      <c r="A394" s="75" t="s">
        <v>342</v>
      </c>
      <c r="B394" s="24" t="s">
        <v>834</v>
      </c>
      <c r="C394" s="24"/>
      <c r="D394" s="24"/>
      <c r="E394" s="24"/>
      <c r="F394" s="42">
        <f>F395</f>
        <v>20000</v>
      </c>
    </row>
    <row r="395" spans="1:6" s="39" customFormat="1" ht="15" x14ac:dyDescent="0.2">
      <c r="A395" s="61" t="s">
        <v>673</v>
      </c>
      <c r="B395" s="24" t="s">
        <v>835</v>
      </c>
      <c r="C395" s="24" t="s">
        <v>824</v>
      </c>
      <c r="D395" s="24"/>
      <c r="E395" s="33"/>
      <c r="F395" s="42">
        <f>F396</f>
        <v>20000</v>
      </c>
    </row>
    <row r="396" spans="1:6" s="39" customFormat="1" ht="15" x14ac:dyDescent="0.2">
      <c r="A396" s="80" t="s">
        <v>675</v>
      </c>
      <c r="B396" s="24" t="s">
        <v>835</v>
      </c>
      <c r="C396" s="24" t="s">
        <v>824</v>
      </c>
      <c r="D396" s="24" t="s">
        <v>825</v>
      </c>
      <c r="E396" s="33"/>
      <c r="F396" s="42">
        <f>F397</f>
        <v>20000</v>
      </c>
    </row>
    <row r="397" spans="1:6" s="39" customFormat="1" ht="24" x14ac:dyDescent="0.2">
      <c r="A397" s="84" t="s">
        <v>246</v>
      </c>
      <c r="B397" s="30" t="s">
        <v>835</v>
      </c>
      <c r="C397" s="30" t="s">
        <v>824</v>
      </c>
      <c r="D397" s="30" t="s">
        <v>825</v>
      </c>
      <c r="E397" s="30" t="s">
        <v>702</v>
      </c>
      <c r="F397" s="41">
        <f>F398+F399</f>
        <v>20000</v>
      </c>
    </row>
    <row r="398" spans="1:6" s="39" customFormat="1" ht="15" x14ac:dyDescent="0.2">
      <c r="A398" s="84" t="s">
        <v>247</v>
      </c>
      <c r="B398" s="30" t="s">
        <v>835</v>
      </c>
      <c r="C398" s="30" t="s">
        <v>824</v>
      </c>
      <c r="D398" s="30" t="s">
        <v>825</v>
      </c>
      <c r="E398" s="30" t="s">
        <v>724</v>
      </c>
      <c r="F398" s="41">
        <v>19142</v>
      </c>
    </row>
    <row r="399" spans="1:6" s="39" customFormat="1" ht="15" x14ac:dyDescent="0.2">
      <c r="A399" s="84" t="s">
        <v>108</v>
      </c>
      <c r="B399" s="30" t="s">
        <v>835</v>
      </c>
      <c r="C399" s="30" t="s">
        <v>824</v>
      </c>
      <c r="D399" s="30" t="s">
        <v>825</v>
      </c>
      <c r="E399" s="30" t="s">
        <v>109</v>
      </c>
      <c r="F399" s="41">
        <v>858</v>
      </c>
    </row>
    <row r="400" spans="1:6" s="39" customFormat="1" ht="48" x14ac:dyDescent="0.2">
      <c r="A400" s="61" t="s">
        <v>104</v>
      </c>
      <c r="B400" s="24" t="s">
        <v>462</v>
      </c>
      <c r="C400" s="24"/>
      <c r="D400" s="24"/>
      <c r="E400" s="24"/>
      <c r="F400" s="42">
        <f>F401</f>
        <v>13500</v>
      </c>
    </row>
    <row r="401" spans="1:6" s="39" customFormat="1" ht="15" x14ac:dyDescent="0.2">
      <c r="A401" s="61" t="s">
        <v>700</v>
      </c>
      <c r="B401" s="24" t="s">
        <v>462</v>
      </c>
      <c r="C401" s="24" t="s">
        <v>107</v>
      </c>
      <c r="D401" s="24"/>
      <c r="E401" s="24"/>
      <c r="F401" s="42">
        <f>F402</f>
        <v>13500</v>
      </c>
    </row>
    <row r="402" spans="1:6" s="39" customFormat="1" ht="15" x14ac:dyDescent="0.2">
      <c r="A402" s="80" t="s">
        <v>688</v>
      </c>
      <c r="B402" s="24" t="s">
        <v>462</v>
      </c>
      <c r="C402" s="24" t="s">
        <v>107</v>
      </c>
      <c r="D402" s="24" t="s">
        <v>216</v>
      </c>
      <c r="E402" s="24"/>
      <c r="F402" s="42">
        <f>F403</f>
        <v>13500</v>
      </c>
    </row>
    <row r="403" spans="1:6" s="39" customFormat="1" ht="15" x14ac:dyDescent="0.2">
      <c r="A403" s="84" t="s">
        <v>237</v>
      </c>
      <c r="B403" s="30" t="s">
        <v>462</v>
      </c>
      <c r="C403" s="30" t="s">
        <v>107</v>
      </c>
      <c r="D403" s="30" t="s">
        <v>216</v>
      </c>
      <c r="E403" s="30" t="s">
        <v>236</v>
      </c>
      <c r="F403" s="41">
        <f>F404</f>
        <v>13500</v>
      </c>
    </row>
    <row r="404" spans="1:6" s="39" customFormat="1" ht="15" x14ac:dyDescent="0.2">
      <c r="A404" s="84" t="s">
        <v>314</v>
      </c>
      <c r="B404" s="30" t="s">
        <v>462</v>
      </c>
      <c r="C404" s="30" t="s">
        <v>107</v>
      </c>
      <c r="D404" s="30" t="s">
        <v>216</v>
      </c>
      <c r="E404" s="30" t="s">
        <v>110</v>
      </c>
      <c r="F404" s="41">
        <v>13500</v>
      </c>
    </row>
    <row r="405" spans="1:6" s="39" customFormat="1" ht="24" x14ac:dyDescent="0.2">
      <c r="A405" s="75" t="s">
        <v>505</v>
      </c>
      <c r="B405" s="24" t="s">
        <v>333</v>
      </c>
      <c r="C405" s="24"/>
      <c r="D405" s="24"/>
      <c r="E405" s="24"/>
      <c r="F405" s="42">
        <f>F406</f>
        <v>9626</v>
      </c>
    </row>
    <row r="406" spans="1:6" s="39" customFormat="1" ht="25.5" x14ac:dyDescent="0.2">
      <c r="A406" s="68" t="s">
        <v>340</v>
      </c>
      <c r="B406" s="24" t="s">
        <v>333</v>
      </c>
      <c r="C406" s="24"/>
      <c r="D406" s="24"/>
      <c r="E406" s="24"/>
      <c r="F406" s="42">
        <f>F407</f>
        <v>9626</v>
      </c>
    </row>
    <row r="407" spans="1:6" s="39" customFormat="1" ht="24" x14ac:dyDescent="0.2">
      <c r="A407" s="83" t="s">
        <v>704</v>
      </c>
      <c r="B407" s="25" t="s">
        <v>333</v>
      </c>
      <c r="C407" s="25"/>
      <c r="D407" s="25"/>
      <c r="E407" s="25"/>
      <c r="F407" s="45">
        <f>F408+F413</f>
        <v>9626</v>
      </c>
    </row>
    <row r="408" spans="1:6" s="39" customFormat="1" ht="15" x14ac:dyDescent="0.2">
      <c r="A408" s="61" t="s">
        <v>673</v>
      </c>
      <c r="B408" s="24" t="s">
        <v>464</v>
      </c>
      <c r="C408" s="24" t="s">
        <v>824</v>
      </c>
      <c r="D408" s="24"/>
      <c r="E408" s="25"/>
      <c r="F408" s="42">
        <f>F409</f>
        <v>9114</v>
      </c>
    </row>
    <row r="409" spans="1:6" s="39" customFormat="1" ht="15" x14ac:dyDescent="0.2">
      <c r="A409" s="80" t="s">
        <v>677</v>
      </c>
      <c r="B409" s="24" t="s">
        <v>464</v>
      </c>
      <c r="C409" s="24" t="s">
        <v>824</v>
      </c>
      <c r="D409" s="24" t="s">
        <v>818</v>
      </c>
      <c r="E409" s="25"/>
      <c r="F409" s="42">
        <f>F410</f>
        <v>9114</v>
      </c>
    </row>
    <row r="410" spans="1:6" s="39" customFormat="1" ht="15" x14ac:dyDescent="0.2">
      <c r="A410" s="82" t="s">
        <v>685</v>
      </c>
      <c r="B410" s="24" t="s">
        <v>464</v>
      </c>
      <c r="C410" s="24" t="s">
        <v>824</v>
      </c>
      <c r="D410" s="24" t="s">
        <v>818</v>
      </c>
      <c r="E410" s="24"/>
      <c r="F410" s="42">
        <f>F411</f>
        <v>9114</v>
      </c>
    </row>
    <row r="411" spans="1:6" s="39" customFormat="1" ht="36" x14ac:dyDescent="0.2">
      <c r="A411" s="84" t="s">
        <v>217</v>
      </c>
      <c r="B411" s="30" t="s">
        <v>464</v>
      </c>
      <c r="C411" s="30" t="s">
        <v>824</v>
      </c>
      <c r="D411" s="30" t="s">
        <v>818</v>
      </c>
      <c r="E411" s="30" t="s">
        <v>218</v>
      </c>
      <c r="F411" s="41">
        <f>F412</f>
        <v>9114</v>
      </c>
    </row>
    <row r="412" spans="1:6" s="39" customFormat="1" ht="15" x14ac:dyDescent="0.2">
      <c r="A412" s="84" t="s">
        <v>219</v>
      </c>
      <c r="B412" s="30" t="s">
        <v>464</v>
      </c>
      <c r="C412" s="30" t="s">
        <v>824</v>
      </c>
      <c r="D412" s="30" t="s">
        <v>818</v>
      </c>
      <c r="E412" s="30" t="s">
        <v>224</v>
      </c>
      <c r="F412" s="41">
        <f>7000+2114</f>
        <v>9114</v>
      </c>
    </row>
    <row r="413" spans="1:6" s="39" customFormat="1" ht="15" x14ac:dyDescent="0.2">
      <c r="A413" s="80" t="s">
        <v>225</v>
      </c>
      <c r="B413" s="24" t="s">
        <v>465</v>
      </c>
      <c r="C413" s="24"/>
      <c r="D413" s="24"/>
      <c r="E413" s="24"/>
      <c r="F413" s="42">
        <f>F414</f>
        <v>512</v>
      </c>
    </row>
    <row r="414" spans="1:6" s="39" customFormat="1" ht="15" x14ac:dyDescent="0.2">
      <c r="A414" s="61" t="s">
        <v>673</v>
      </c>
      <c r="B414" s="24" t="s">
        <v>465</v>
      </c>
      <c r="C414" s="24" t="s">
        <v>824</v>
      </c>
      <c r="D414" s="24"/>
      <c r="E414" s="25"/>
      <c r="F414" s="42">
        <f>F415</f>
        <v>512</v>
      </c>
    </row>
    <row r="415" spans="1:6" s="39" customFormat="1" ht="15" x14ac:dyDescent="0.2">
      <c r="A415" s="80" t="s">
        <v>677</v>
      </c>
      <c r="B415" s="24" t="s">
        <v>465</v>
      </c>
      <c r="C415" s="24" t="s">
        <v>824</v>
      </c>
      <c r="D415" s="24" t="s">
        <v>818</v>
      </c>
      <c r="E415" s="25"/>
      <c r="F415" s="42">
        <f>F416+F418</f>
        <v>512</v>
      </c>
    </row>
    <row r="416" spans="1:6" s="39" customFormat="1" ht="15" x14ac:dyDescent="0.2">
      <c r="A416" s="84" t="s">
        <v>473</v>
      </c>
      <c r="B416" s="30" t="s">
        <v>465</v>
      </c>
      <c r="C416" s="30" t="s">
        <v>824</v>
      </c>
      <c r="D416" s="30" t="s">
        <v>818</v>
      </c>
      <c r="E416" s="30" t="s">
        <v>226</v>
      </c>
      <c r="F416" s="41">
        <f>F417</f>
        <v>497</v>
      </c>
    </row>
    <row r="417" spans="1:6" s="39" customFormat="1" ht="24" x14ac:dyDescent="0.2">
      <c r="A417" s="84" t="s">
        <v>227</v>
      </c>
      <c r="B417" s="30" t="s">
        <v>465</v>
      </c>
      <c r="C417" s="30" t="s">
        <v>824</v>
      </c>
      <c r="D417" s="30" t="s">
        <v>818</v>
      </c>
      <c r="E417" s="30" t="s">
        <v>228</v>
      </c>
      <c r="F417" s="41">
        <v>497</v>
      </c>
    </row>
    <row r="418" spans="1:6" s="39" customFormat="1" ht="15" x14ac:dyDescent="0.2">
      <c r="A418" s="84" t="s">
        <v>229</v>
      </c>
      <c r="B418" s="30" t="s">
        <v>465</v>
      </c>
      <c r="C418" s="30" t="s">
        <v>824</v>
      </c>
      <c r="D418" s="30" t="s">
        <v>818</v>
      </c>
      <c r="E418" s="30" t="s">
        <v>230</v>
      </c>
      <c r="F418" s="41">
        <f>F419</f>
        <v>15</v>
      </c>
    </row>
    <row r="419" spans="1:6" s="39" customFormat="1" ht="15" x14ac:dyDescent="0.2">
      <c r="A419" s="84" t="s">
        <v>106</v>
      </c>
      <c r="B419" s="30" t="s">
        <v>465</v>
      </c>
      <c r="C419" s="30" t="s">
        <v>824</v>
      </c>
      <c r="D419" s="30" t="s">
        <v>818</v>
      </c>
      <c r="E419" s="30" t="s">
        <v>231</v>
      </c>
      <c r="F419" s="41">
        <v>15</v>
      </c>
    </row>
    <row r="420" spans="1:6" s="39" customFormat="1" ht="27" x14ac:dyDescent="0.2">
      <c r="A420" s="152" t="s">
        <v>548</v>
      </c>
      <c r="B420" s="154" t="s">
        <v>427</v>
      </c>
      <c r="C420" s="158"/>
      <c r="D420" s="158"/>
      <c r="E420" s="158"/>
      <c r="F420" s="164">
        <f>F421+F457+F473+F502</f>
        <v>220407.31940999997</v>
      </c>
    </row>
    <row r="421" spans="1:6" s="39" customFormat="1" ht="15" x14ac:dyDescent="0.2">
      <c r="A421" s="80" t="s">
        <v>213</v>
      </c>
      <c r="B421" s="24" t="s">
        <v>443</v>
      </c>
      <c r="C421" s="24"/>
      <c r="D421" s="24"/>
      <c r="E421" s="24"/>
      <c r="F421" s="42">
        <f>F422+F427+F432+F437+F442+F447+F452</f>
        <v>20000</v>
      </c>
    </row>
    <row r="422" spans="1:6" s="39" customFormat="1" ht="15" x14ac:dyDescent="0.2">
      <c r="A422" s="75" t="s">
        <v>251</v>
      </c>
      <c r="B422" s="24" t="s">
        <v>98</v>
      </c>
      <c r="C422" s="24"/>
      <c r="D422" s="24"/>
      <c r="E422" s="25"/>
      <c r="F422" s="42">
        <f>F423</f>
        <v>17950</v>
      </c>
    </row>
    <row r="423" spans="1:6" s="39" customFormat="1" ht="15" x14ac:dyDescent="0.2">
      <c r="A423" s="61" t="s">
        <v>689</v>
      </c>
      <c r="B423" s="24" t="s">
        <v>98</v>
      </c>
      <c r="C423" s="24" t="s">
        <v>822</v>
      </c>
      <c r="D423" s="24"/>
      <c r="E423" s="24"/>
      <c r="F423" s="42">
        <f>F424</f>
        <v>17950</v>
      </c>
    </row>
    <row r="424" spans="1:6" s="39" customFormat="1" ht="15" x14ac:dyDescent="0.2">
      <c r="A424" s="61" t="s">
        <v>799</v>
      </c>
      <c r="B424" s="24" t="s">
        <v>98</v>
      </c>
      <c r="C424" s="24" t="s">
        <v>822</v>
      </c>
      <c r="D424" s="24" t="s">
        <v>216</v>
      </c>
      <c r="E424" s="24"/>
      <c r="F424" s="42">
        <f>F425</f>
        <v>17950</v>
      </c>
    </row>
    <row r="425" spans="1:6" s="39" customFormat="1" ht="15" x14ac:dyDescent="0.2">
      <c r="A425" s="84" t="s">
        <v>473</v>
      </c>
      <c r="B425" s="30" t="s">
        <v>98</v>
      </c>
      <c r="C425" s="30" t="s">
        <v>822</v>
      </c>
      <c r="D425" s="30" t="s">
        <v>216</v>
      </c>
      <c r="E425" s="30" t="s">
        <v>226</v>
      </c>
      <c r="F425" s="41">
        <f>F426</f>
        <v>17950</v>
      </c>
    </row>
    <row r="426" spans="1:6" s="39" customFormat="1" ht="24" x14ac:dyDescent="0.2">
      <c r="A426" s="84" t="s">
        <v>227</v>
      </c>
      <c r="B426" s="30" t="s">
        <v>98</v>
      </c>
      <c r="C426" s="30" t="s">
        <v>822</v>
      </c>
      <c r="D426" s="30" t="s">
        <v>216</v>
      </c>
      <c r="E426" s="30" t="s">
        <v>228</v>
      </c>
      <c r="F426" s="41">
        <v>17950</v>
      </c>
    </row>
    <row r="427" spans="1:6" s="39" customFormat="1" ht="15" x14ac:dyDescent="0.2">
      <c r="A427" s="75" t="s">
        <v>563</v>
      </c>
      <c r="B427" s="24" t="s">
        <v>97</v>
      </c>
      <c r="C427" s="24"/>
      <c r="D427" s="24"/>
      <c r="E427" s="25"/>
      <c r="F427" s="42">
        <f>F428</f>
        <v>500</v>
      </c>
    </row>
    <row r="428" spans="1:6" s="39" customFormat="1" ht="15" x14ac:dyDescent="0.2">
      <c r="A428" s="61" t="s">
        <v>689</v>
      </c>
      <c r="B428" s="24" t="s">
        <v>97</v>
      </c>
      <c r="C428" s="24" t="s">
        <v>822</v>
      </c>
      <c r="D428" s="24"/>
      <c r="E428" s="24"/>
      <c r="F428" s="42">
        <f>F429</f>
        <v>500</v>
      </c>
    </row>
    <row r="429" spans="1:6" s="39" customFormat="1" ht="15" x14ac:dyDescent="0.2">
      <c r="A429" s="61" t="s">
        <v>799</v>
      </c>
      <c r="B429" s="24" t="s">
        <v>97</v>
      </c>
      <c r="C429" s="24" t="s">
        <v>822</v>
      </c>
      <c r="D429" s="24" t="s">
        <v>216</v>
      </c>
      <c r="E429" s="24"/>
      <c r="F429" s="42">
        <f>F430</f>
        <v>500</v>
      </c>
    </row>
    <row r="430" spans="1:6" s="39" customFormat="1" ht="15" x14ac:dyDescent="0.2">
      <c r="A430" s="84" t="s">
        <v>473</v>
      </c>
      <c r="B430" s="30" t="s">
        <v>97</v>
      </c>
      <c r="C430" s="30" t="s">
        <v>822</v>
      </c>
      <c r="D430" s="30" t="s">
        <v>216</v>
      </c>
      <c r="E430" s="30" t="s">
        <v>226</v>
      </c>
      <c r="F430" s="41">
        <f>F431</f>
        <v>500</v>
      </c>
    </row>
    <row r="431" spans="1:6" s="39" customFormat="1" ht="24" x14ac:dyDescent="0.2">
      <c r="A431" s="84" t="s">
        <v>227</v>
      </c>
      <c r="B431" s="30" t="s">
        <v>97</v>
      </c>
      <c r="C431" s="30" t="s">
        <v>822</v>
      </c>
      <c r="D431" s="30" t="s">
        <v>216</v>
      </c>
      <c r="E431" s="30" t="s">
        <v>228</v>
      </c>
      <c r="F431" s="41">
        <v>500</v>
      </c>
    </row>
    <row r="432" spans="1:6" s="39" customFormat="1" ht="36" x14ac:dyDescent="0.2">
      <c r="A432" s="80" t="s">
        <v>600</v>
      </c>
      <c r="B432" s="24" t="s">
        <v>99</v>
      </c>
      <c r="C432" s="24"/>
      <c r="D432" s="24"/>
      <c r="E432" s="24"/>
      <c r="F432" s="42">
        <f>F433</f>
        <v>200</v>
      </c>
    </row>
    <row r="433" spans="1:6" s="39" customFormat="1" ht="15" x14ac:dyDescent="0.2">
      <c r="A433" s="61" t="s">
        <v>689</v>
      </c>
      <c r="B433" s="24" t="s">
        <v>99</v>
      </c>
      <c r="C433" s="24" t="s">
        <v>822</v>
      </c>
      <c r="D433" s="24"/>
      <c r="E433" s="24"/>
      <c r="F433" s="42">
        <f>F434</f>
        <v>200</v>
      </c>
    </row>
    <row r="434" spans="1:6" s="39" customFormat="1" ht="15" x14ac:dyDescent="0.2">
      <c r="A434" s="61" t="s">
        <v>799</v>
      </c>
      <c r="B434" s="24" t="s">
        <v>99</v>
      </c>
      <c r="C434" s="24" t="s">
        <v>822</v>
      </c>
      <c r="D434" s="24" t="s">
        <v>216</v>
      </c>
      <c r="E434" s="24"/>
      <c r="F434" s="42">
        <f>F435</f>
        <v>200</v>
      </c>
    </row>
    <row r="435" spans="1:6" s="39" customFormat="1" ht="15" x14ac:dyDescent="0.2">
      <c r="A435" s="84" t="s">
        <v>473</v>
      </c>
      <c r="B435" s="30" t="s">
        <v>99</v>
      </c>
      <c r="C435" s="30" t="s">
        <v>822</v>
      </c>
      <c r="D435" s="30" t="s">
        <v>216</v>
      </c>
      <c r="E435" s="30" t="s">
        <v>226</v>
      </c>
      <c r="F435" s="41">
        <f>F436</f>
        <v>200</v>
      </c>
    </row>
    <row r="436" spans="1:6" s="39" customFormat="1" ht="24" x14ac:dyDescent="0.2">
      <c r="A436" s="84" t="s">
        <v>227</v>
      </c>
      <c r="B436" s="30" t="s">
        <v>99</v>
      </c>
      <c r="C436" s="30" t="s">
        <v>822</v>
      </c>
      <c r="D436" s="30" t="s">
        <v>216</v>
      </c>
      <c r="E436" s="30" t="s">
        <v>228</v>
      </c>
      <c r="F436" s="41">
        <v>200</v>
      </c>
    </row>
    <row r="437" spans="1:6" s="39" customFormat="1" ht="24" x14ac:dyDescent="0.2">
      <c r="A437" s="80" t="s">
        <v>601</v>
      </c>
      <c r="B437" s="24" t="s">
        <v>100</v>
      </c>
      <c r="C437" s="24"/>
      <c r="D437" s="24"/>
      <c r="E437" s="24"/>
      <c r="F437" s="42">
        <f>F438</f>
        <v>50</v>
      </c>
    </row>
    <row r="438" spans="1:6" s="39" customFormat="1" ht="15" x14ac:dyDescent="0.2">
      <c r="A438" s="61" t="s">
        <v>689</v>
      </c>
      <c r="B438" s="24" t="s">
        <v>100</v>
      </c>
      <c r="C438" s="24" t="s">
        <v>822</v>
      </c>
      <c r="D438" s="24"/>
      <c r="E438" s="24"/>
      <c r="F438" s="42">
        <f>F439</f>
        <v>50</v>
      </c>
    </row>
    <row r="439" spans="1:6" s="39" customFormat="1" ht="15" x14ac:dyDescent="0.2">
      <c r="A439" s="61" t="s">
        <v>799</v>
      </c>
      <c r="B439" s="24" t="s">
        <v>100</v>
      </c>
      <c r="C439" s="24" t="s">
        <v>822</v>
      </c>
      <c r="D439" s="24" t="s">
        <v>216</v>
      </c>
      <c r="E439" s="24"/>
      <c r="F439" s="42">
        <f>F440</f>
        <v>50</v>
      </c>
    </row>
    <row r="440" spans="1:6" s="39" customFormat="1" ht="15" x14ac:dyDescent="0.2">
      <c r="A440" s="84" t="s">
        <v>473</v>
      </c>
      <c r="B440" s="30" t="s">
        <v>100</v>
      </c>
      <c r="C440" s="30" t="s">
        <v>822</v>
      </c>
      <c r="D440" s="30" t="s">
        <v>216</v>
      </c>
      <c r="E440" s="30" t="s">
        <v>226</v>
      </c>
      <c r="F440" s="41">
        <f>F441</f>
        <v>50</v>
      </c>
    </row>
    <row r="441" spans="1:6" s="39" customFormat="1" ht="24" x14ac:dyDescent="0.2">
      <c r="A441" s="84" t="s">
        <v>227</v>
      </c>
      <c r="B441" s="30" t="s">
        <v>100</v>
      </c>
      <c r="C441" s="30" t="s">
        <v>822</v>
      </c>
      <c r="D441" s="30" t="s">
        <v>216</v>
      </c>
      <c r="E441" s="30" t="s">
        <v>228</v>
      </c>
      <c r="F441" s="41">
        <v>50</v>
      </c>
    </row>
    <row r="442" spans="1:6" s="39" customFormat="1" ht="24" x14ac:dyDescent="0.2">
      <c r="A442" s="80" t="s">
        <v>759</v>
      </c>
      <c r="B442" s="24" t="s">
        <v>101</v>
      </c>
      <c r="C442" s="24"/>
      <c r="D442" s="24"/>
      <c r="E442" s="24"/>
      <c r="F442" s="42">
        <f>F443</f>
        <v>500</v>
      </c>
    </row>
    <row r="443" spans="1:6" s="39" customFormat="1" ht="15" x14ac:dyDescent="0.2">
      <c r="A443" s="61" t="s">
        <v>689</v>
      </c>
      <c r="B443" s="24" t="s">
        <v>101</v>
      </c>
      <c r="C443" s="24" t="s">
        <v>822</v>
      </c>
      <c r="D443" s="24"/>
      <c r="E443" s="24"/>
      <c r="F443" s="42">
        <f>F444</f>
        <v>500</v>
      </c>
    </row>
    <row r="444" spans="1:6" s="39" customFormat="1" ht="15" x14ac:dyDescent="0.2">
      <c r="A444" s="61" t="s">
        <v>799</v>
      </c>
      <c r="B444" s="24" t="s">
        <v>101</v>
      </c>
      <c r="C444" s="24" t="s">
        <v>822</v>
      </c>
      <c r="D444" s="24" t="s">
        <v>216</v>
      </c>
      <c r="E444" s="24"/>
      <c r="F444" s="42">
        <f>F445</f>
        <v>500</v>
      </c>
    </row>
    <row r="445" spans="1:6" s="39" customFormat="1" ht="15" x14ac:dyDescent="0.2">
      <c r="A445" s="84" t="s">
        <v>473</v>
      </c>
      <c r="B445" s="30" t="s">
        <v>101</v>
      </c>
      <c r="C445" s="30" t="s">
        <v>822</v>
      </c>
      <c r="D445" s="30" t="s">
        <v>216</v>
      </c>
      <c r="E445" s="30" t="s">
        <v>226</v>
      </c>
      <c r="F445" s="41">
        <f>F446</f>
        <v>500</v>
      </c>
    </row>
    <row r="446" spans="1:6" s="39" customFormat="1" ht="24" x14ac:dyDescent="0.2">
      <c r="A446" s="84" t="s">
        <v>227</v>
      </c>
      <c r="B446" s="30" t="s">
        <v>101</v>
      </c>
      <c r="C446" s="30" t="s">
        <v>822</v>
      </c>
      <c r="D446" s="30" t="s">
        <v>216</v>
      </c>
      <c r="E446" s="30" t="s">
        <v>228</v>
      </c>
      <c r="F446" s="41">
        <v>500</v>
      </c>
    </row>
    <row r="447" spans="1:6" s="39" customFormat="1" ht="24" x14ac:dyDescent="0.2">
      <c r="A447" s="80" t="s">
        <v>539</v>
      </c>
      <c r="B447" s="24" t="s">
        <v>102</v>
      </c>
      <c r="C447" s="24"/>
      <c r="D447" s="24"/>
      <c r="E447" s="24"/>
      <c r="F447" s="117">
        <f>F448</f>
        <v>500</v>
      </c>
    </row>
    <row r="448" spans="1:6" s="39" customFormat="1" ht="15" x14ac:dyDescent="0.2">
      <c r="A448" s="61" t="s">
        <v>689</v>
      </c>
      <c r="B448" s="24" t="s">
        <v>102</v>
      </c>
      <c r="C448" s="24" t="s">
        <v>822</v>
      </c>
      <c r="D448" s="24"/>
      <c r="E448" s="24"/>
      <c r="F448" s="42">
        <f>F449</f>
        <v>500</v>
      </c>
    </row>
    <row r="449" spans="1:6" s="39" customFormat="1" ht="15" x14ac:dyDescent="0.2">
      <c r="A449" s="61" t="s">
        <v>799</v>
      </c>
      <c r="B449" s="24" t="s">
        <v>102</v>
      </c>
      <c r="C449" s="24" t="s">
        <v>822</v>
      </c>
      <c r="D449" s="24" t="s">
        <v>216</v>
      </c>
      <c r="E449" s="24"/>
      <c r="F449" s="42">
        <f>F450</f>
        <v>500</v>
      </c>
    </row>
    <row r="450" spans="1:6" s="39" customFormat="1" ht="15" x14ac:dyDescent="0.2">
      <c r="A450" s="84" t="s">
        <v>473</v>
      </c>
      <c r="B450" s="30" t="s">
        <v>102</v>
      </c>
      <c r="C450" s="30" t="s">
        <v>822</v>
      </c>
      <c r="D450" s="30" t="s">
        <v>216</v>
      </c>
      <c r="E450" s="30" t="s">
        <v>226</v>
      </c>
      <c r="F450" s="118">
        <f>F451</f>
        <v>500</v>
      </c>
    </row>
    <row r="451" spans="1:6" s="39" customFormat="1" ht="24" x14ac:dyDescent="0.2">
      <c r="A451" s="84" t="s">
        <v>227</v>
      </c>
      <c r="B451" s="30" t="s">
        <v>102</v>
      </c>
      <c r="C451" s="30" t="s">
        <v>822</v>
      </c>
      <c r="D451" s="30" t="s">
        <v>216</v>
      </c>
      <c r="E451" s="30" t="s">
        <v>228</v>
      </c>
      <c r="F451" s="118">
        <v>500</v>
      </c>
    </row>
    <row r="452" spans="1:6" s="39" customFormat="1" ht="15" customHeight="1" x14ac:dyDescent="0.2">
      <c r="A452" s="80" t="s">
        <v>538</v>
      </c>
      <c r="B452" s="24" t="s">
        <v>103</v>
      </c>
      <c r="C452" s="24"/>
      <c r="D452" s="24"/>
      <c r="E452" s="24"/>
      <c r="F452" s="42">
        <f>F453</f>
        <v>300</v>
      </c>
    </row>
    <row r="453" spans="1:6" s="39" customFormat="1" ht="15" x14ac:dyDescent="0.2">
      <c r="A453" s="61" t="s">
        <v>689</v>
      </c>
      <c r="B453" s="24" t="s">
        <v>103</v>
      </c>
      <c r="C453" s="24" t="s">
        <v>822</v>
      </c>
      <c r="D453" s="24"/>
      <c r="E453" s="24"/>
      <c r="F453" s="42">
        <f>F454</f>
        <v>300</v>
      </c>
    </row>
    <row r="454" spans="1:6" s="39" customFormat="1" ht="15" x14ac:dyDescent="0.2">
      <c r="A454" s="61" t="s">
        <v>799</v>
      </c>
      <c r="B454" s="24" t="s">
        <v>103</v>
      </c>
      <c r="C454" s="24" t="s">
        <v>822</v>
      </c>
      <c r="D454" s="24" t="s">
        <v>216</v>
      </c>
      <c r="E454" s="24"/>
      <c r="F454" s="42">
        <f>F455</f>
        <v>300</v>
      </c>
    </row>
    <row r="455" spans="1:6" s="39" customFormat="1" ht="15" x14ac:dyDescent="0.2">
      <c r="A455" s="84" t="s">
        <v>473</v>
      </c>
      <c r="B455" s="30" t="s">
        <v>103</v>
      </c>
      <c r="C455" s="30" t="s">
        <v>822</v>
      </c>
      <c r="D455" s="30" t="s">
        <v>216</v>
      </c>
      <c r="E455" s="30" t="s">
        <v>226</v>
      </c>
      <c r="F455" s="41">
        <f>F456</f>
        <v>300</v>
      </c>
    </row>
    <row r="456" spans="1:6" s="39" customFormat="1" ht="24" x14ac:dyDescent="0.2">
      <c r="A456" s="84" t="s">
        <v>227</v>
      </c>
      <c r="B456" s="30" t="s">
        <v>103</v>
      </c>
      <c r="C456" s="30" t="s">
        <v>822</v>
      </c>
      <c r="D456" s="30" t="s">
        <v>216</v>
      </c>
      <c r="E456" s="30" t="s">
        <v>228</v>
      </c>
      <c r="F456" s="41">
        <v>300</v>
      </c>
    </row>
    <row r="457" spans="1:6" s="39" customFormat="1" ht="14.25" customHeight="1" x14ac:dyDescent="0.2">
      <c r="A457" s="80" t="s">
        <v>650</v>
      </c>
      <c r="B457" s="24" t="s">
        <v>433</v>
      </c>
      <c r="C457" s="24"/>
      <c r="D457" s="24"/>
      <c r="E457" s="24"/>
      <c r="F457" s="42">
        <f>F458+F463+F468</f>
        <v>2500</v>
      </c>
    </row>
    <row r="458" spans="1:6" s="39" customFormat="1" ht="15" x14ac:dyDescent="0.2">
      <c r="A458" s="75" t="s">
        <v>434</v>
      </c>
      <c r="B458" s="24" t="s">
        <v>91</v>
      </c>
      <c r="C458" s="24"/>
      <c r="D458" s="24"/>
      <c r="E458" s="24"/>
      <c r="F458" s="42">
        <f>F459</f>
        <v>1850</v>
      </c>
    </row>
    <row r="459" spans="1:6" s="39" customFormat="1" ht="15" x14ac:dyDescent="0.2">
      <c r="A459" s="61" t="s">
        <v>673</v>
      </c>
      <c r="B459" s="24" t="s">
        <v>91</v>
      </c>
      <c r="C459" s="24" t="s">
        <v>824</v>
      </c>
      <c r="D459" s="24"/>
      <c r="E459" s="24"/>
      <c r="F459" s="42">
        <f>F460</f>
        <v>1850</v>
      </c>
    </row>
    <row r="460" spans="1:6" s="39" customFormat="1" ht="15" x14ac:dyDescent="0.2">
      <c r="A460" s="61" t="s">
        <v>676</v>
      </c>
      <c r="B460" s="24" t="s">
        <v>91</v>
      </c>
      <c r="C460" s="24" t="s">
        <v>824</v>
      </c>
      <c r="D460" s="24" t="s">
        <v>824</v>
      </c>
      <c r="E460" s="24"/>
      <c r="F460" s="42">
        <f>F461</f>
        <v>1850</v>
      </c>
    </row>
    <row r="461" spans="1:6" s="39" customFormat="1" ht="15" x14ac:dyDescent="0.2">
      <c r="A461" s="84" t="s">
        <v>473</v>
      </c>
      <c r="B461" s="30" t="s">
        <v>91</v>
      </c>
      <c r="C461" s="30" t="s">
        <v>824</v>
      </c>
      <c r="D461" s="30" t="s">
        <v>824</v>
      </c>
      <c r="E461" s="30" t="s">
        <v>226</v>
      </c>
      <c r="F461" s="41">
        <f>F462</f>
        <v>1850</v>
      </c>
    </row>
    <row r="462" spans="1:6" s="39" customFormat="1" ht="24" x14ac:dyDescent="0.2">
      <c r="A462" s="84" t="s">
        <v>227</v>
      </c>
      <c r="B462" s="30" t="s">
        <v>91</v>
      </c>
      <c r="C462" s="30" t="s">
        <v>824</v>
      </c>
      <c r="D462" s="30" t="s">
        <v>824</v>
      </c>
      <c r="E462" s="30" t="s">
        <v>228</v>
      </c>
      <c r="F462" s="41">
        <v>1850</v>
      </c>
    </row>
    <row r="463" spans="1:6" s="39" customFormat="1" ht="15" x14ac:dyDescent="0.2">
      <c r="A463" s="75" t="s">
        <v>435</v>
      </c>
      <c r="B463" s="24" t="s">
        <v>92</v>
      </c>
      <c r="C463" s="24"/>
      <c r="D463" s="24"/>
      <c r="E463" s="24"/>
      <c r="F463" s="42">
        <f>F464</f>
        <v>150</v>
      </c>
    </row>
    <row r="464" spans="1:6" s="39" customFormat="1" ht="15" x14ac:dyDescent="0.2">
      <c r="A464" s="61" t="s">
        <v>673</v>
      </c>
      <c r="B464" s="24" t="s">
        <v>92</v>
      </c>
      <c r="C464" s="24" t="s">
        <v>824</v>
      </c>
      <c r="D464" s="24"/>
      <c r="E464" s="24"/>
      <c r="F464" s="42">
        <f>F465</f>
        <v>150</v>
      </c>
    </row>
    <row r="465" spans="1:6" s="39" customFormat="1" ht="15" x14ac:dyDescent="0.2">
      <c r="A465" s="61" t="s">
        <v>676</v>
      </c>
      <c r="B465" s="24" t="s">
        <v>92</v>
      </c>
      <c r="C465" s="24" t="s">
        <v>824</v>
      </c>
      <c r="D465" s="24" t="s">
        <v>824</v>
      </c>
      <c r="E465" s="24"/>
      <c r="F465" s="42">
        <f>F466</f>
        <v>150</v>
      </c>
    </row>
    <row r="466" spans="1:6" s="39" customFormat="1" ht="15" x14ac:dyDescent="0.2">
      <c r="A466" s="84" t="s">
        <v>473</v>
      </c>
      <c r="B466" s="30" t="s">
        <v>92</v>
      </c>
      <c r="C466" s="30" t="s">
        <v>824</v>
      </c>
      <c r="D466" s="30" t="s">
        <v>824</v>
      </c>
      <c r="E466" s="30" t="s">
        <v>226</v>
      </c>
      <c r="F466" s="41">
        <f>F467</f>
        <v>150</v>
      </c>
    </row>
    <row r="467" spans="1:6" s="39" customFormat="1" ht="24" x14ac:dyDescent="0.2">
      <c r="A467" s="84" t="s">
        <v>227</v>
      </c>
      <c r="B467" s="30" t="s">
        <v>92</v>
      </c>
      <c r="C467" s="30" t="s">
        <v>824</v>
      </c>
      <c r="D467" s="30" t="s">
        <v>824</v>
      </c>
      <c r="E467" s="30" t="s">
        <v>228</v>
      </c>
      <c r="F467" s="41">
        <v>150</v>
      </c>
    </row>
    <row r="468" spans="1:6" s="39" customFormat="1" ht="24" x14ac:dyDescent="0.2">
      <c r="A468" s="80" t="s">
        <v>203</v>
      </c>
      <c r="B468" s="24" t="s">
        <v>93</v>
      </c>
      <c r="C468" s="24"/>
      <c r="D468" s="24"/>
      <c r="E468" s="24"/>
      <c r="F468" s="42">
        <f>F469</f>
        <v>500</v>
      </c>
    </row>
    <row r="469" spans="1:6" s="39" customFormat="1" ht="15" x14ac:dyDescent="0.2">
      <c r="A469" s="61" t="s">
        <v>673</v>
      </c>
      <c r="B469" s="24" t="s">
        <v>93</v>
      </c>
      <c r="C469" s="24" t="s">
        <v>824</v>
      </c>
      <c r="D469" s="24"/>
      <c r="E469" s="24"/>
      <c r="F469" s="42">
        <f>F470</f>
        <v>500</v>
      </c>
    </row>
    <row r="470" spans="1:6" s="39" customFormat="1" ht="15" x14ac:dyDescent="0.2">
      <c r="A470" s="61" t="s">
        <v>676</v>
      </c>
      <c r="B470" s="24" t="s">
        <v>93</v>
      </c>
      <c r="C470" s="24" t="s">
        <v>824</v>
      </c>
      <c r="D470" s="24" t="s">
        <v>824</v>
      </c>
      <c r="E470" s="24"/>
      <c r="F470" s="42">
        <f>F471</f>
        <v>500</v>
      </c>
    </row>
    <row r="471" spans="1:6" s="39" customFormat="1" ht="24" x14ac:dyDescent="0.2">
      <c r="A471" s="84" t="s">
        <v>246</v>
      </c>
      <c r="B471" s="30" t="s">
        <v>93</v>
      </c>
      <c r="C471" s="30" t="s">
        <v>824</v>
      </c>
      <c r="D471" s="30" t="s">
        <v>824</v>
      </c>
      <c r="E471" s="30" t="s">
        <v>702</v>
      </c>
      <c r="F471" s="41">
        <f>F472</f>
        <v>500</v>
      </c>
    </row>
    <row r="472" spans="1:6" s="39" customFormat="1" ht="24" x14ac:dyDescent="0.2">
      <c r="A472" s="172" t="s">
        <v>290</v>
      </c>
      <c r="B472" s="30" t="s">
        <v>93</v>
      </c>
      <c r="C472" s="30" t="s">
        <v>824</v>
      </c>
      <c r="D472" s="30" t="s">
        <v>824</v>
      </c>
      <c r="E472" s="30" t="s">
        <v>794</v>
      </c>
      <c r="F472" s="41">
        <v>500</v>
      </c>
    </row>
    <row r="473" spans="1:6" s="39" customFormat="1" ht="24" x14ac:dyDescent="0.2">
      <c r="A473" s="80" t="s">
        <v>651</v>
      </c>
      <c r="B473" s="24" t="s">
        <v>428</v>
      </c>
      <c r="C473" s="24"/>
      <c r="D473" s="24"/>
      <c r="E473" s="24"/>
      <c r="F473" s="42">
        <f>F474+F480+F486+F497+F492</f>
        <v>193743.51940999998</v>
      </c>
    </row>
    <row r="474" spans="1:6" s="39" customFormat="1" ht="24" x14ac:dyDescent="0.2">
      <c r="A474" s="80" t="s">
        <v>652</v>
      </c>
      <c r="B474" s="24" t="s">
        <v>90</v>
      </c>
      <c r="C474" s="24"/>
      <c r="D474" s="24"/>
      <c r="E474" s="24"/>
      <c r="F474" s="42">
        <f>F475</f>
        <v>91873.4</v>
      </c>
    </row>
    <row r="475" spans="1:6" s="39" customFormat="1" ht="15" x14ac:dyDescent="0.2">
      <c r="A475" s="61" t="s">
        <v>673</v>
      </c>
      <c r="B475" s="24" t="s">
        <v>90</v>
      </c>
      <c r="C475" s="24" t="s">
        <v>824</v>
      </c>
      <c r="D475" s="24"/>
      <c r="E475" s="24"/>
      <c r="F475" s="42">
        <f>F476</f>
        <v>91873.4</v>
      </c>
    </row>
    <row r="476" spans="1:6" s="39" customFormat="1" ht="15" x14ac:dyDescent="0.2">
      <c r="A476" s="80" t="s">
        <v>449</v>
      </c>
      <c r="B476" s="24" t="s">
        <v>90</v>
      </c>
      <c r="C476" s="24" t="s">
        <v>824</v>
      </c>
      <c r="D476" s="24" t="s">
        <v>817</v>
      </c>
      <c r="E476" s="24"/>
      <c r="F476" s="42">
        <f>F477</f>
        <v>91873.4</v>
      </c>
    </row>
    <row r="477" spans="1:6" s="39" customFormat="1" ht="24" x14ac:dyDescent="0.2">
      <c r="A477" s="85" t="s">
        <v>494</v>
      </c>
      <c r="B477" s="33" t="s">
        <v>90</v>
      </c>
      <c r="C477" s="33" t="s">
        <v>824</v>
      </c>
      <c r="D477" s="33" t="s">
        <v>817</v>
      </c>
      <c r="E477" s="25"/>
      <c r="F477" s="45">
        <f>F478</f>
        <v>91873.4</v>
      </c>
    </row>
    <row r="478" spans="1:6" s="39" customFormat="1" ht="24" x14ac:dyDescent="0.2">
      <c r="A478" s="84" t="s">
        <v>246</v>
      </c>
      <c r="B478" s="30" t="s">
        <v>90</v>
      </c>
      <c r="C478" s="30" t="s">
        <v>824</v>
      </c>
      <c r="D478" s="30" t="s">
        <v>817</v>
      </c>
      <c r="E478" s="30" t="s">
        <v>702</v>
      </c>
      <c r="F478" s="41">
        <f>F479</f>
        <v>91873.4</v>
      </c>
    </row>
    <row r="479" spans="1:6" s="39" customFormat="1" ht="15" x14ac:dyDescent="0.2">
      <c r="A479" s="84" t="s">
        <v>247</v>
      </c>
      <c r="B479" s="30" t="s">
        <v>90</v>
      </c>
      <c r="C479" s="30" t="s">
        <v>824</v>
      </c>
      <c r="D479" s="30" t="s">
        <v>817</v>
      </c>
      <c r="E479" s="30" t="s">
        <v>724</v>
      </c>
      <c r="F479" s="41">
        <v>91873.4</v>
      </c>
    </row>
    <row r="480" spans="1:6" s="39" customFormat="1" ht="24" x14ac:dyDescent="0.2">
      <c r="A480" s="80" t="s">
        <v>653</v>
      </c>
      <c r="B480" s="24" t="s">
        <v>438</v>
      </c>
      <c r="C480" s="24"/>
      <c r="D480" s="24"/>
      <c r="E480" s="24"/>
      <c r="F480" s="42">
        <f>F481</f>
        <v>33920.699999999997</v>
      </c>
    </row>
    <row r="481" spans="1:6" s="39" customFormat="1" ht="15" x14ac:dyDescent="0.2">
      <c r="A481" s="61" t="s">
        <v>689</v>
      </c>
      <c r="B481" s="24" t="s">
        <v>96</v>
      </c>
      <c r="C481" s="24" t="s">
        <v>822</v>
      </c>
      <c r="D481" s="24"/>
      <c r="E481" s="24"/>
      <c r="F481" s="42">
        <f>F482</f>
        <v>33920.699999999997</v>
      </c>
    </row>
    <row r="482" spans="1:6" s="39" customFormat="1" ht="15" x14ac:dyDescent="0.2">
      <c r="A482" s="61" t="s">
        <v>678</v>
      </c>
      <c r="B482" s="24" t="s">
        <v>96</v>
      </c>
      <c r="C482" s="24" t="s">
        <v>822</v>
      </c>
      <c r="D482" s="24" t="s">
        <v>214</v>
      </c>
      <c r="E482" s="24"/>
      <c r="F482" s="42">
        <f>F483</f>
        <v>33920.699999999997</v>
      </c>
    </row>
    <row r="483" spans="1:6" s="39" customFormat="1" ht="24" x14ac:dyDescent="0.2">
      <c r="A483" s="85" t="s">
        <v>95</v>
      </c>
      <c r="B483" s="33" t="s">
        <v>96</v>
      </c>
      <c r="C483" s="33" t="s">
        <v>822</v>
      </c>
      <c r="D483" s="33" t="s">
        <v>214</v>
      </c>
      <c r="E483" s="25"/>
      <c r="F483" s="101">
        <f>F484</f>
        <v>33920.699999999997</v>
      </c>
    </row>
    <row r="484" spans="1:6" s="39" customFormat="1" ht="24" x14ac:dyDescent="0.2">
      <c r="A484" s="84" t="s">
        <v>246</v>
      </c>
      <c r="B484" s="30" t="s">
        <v>96</v>
      </c>
      <c r="C484" s="30" t="s">
        <v>822</v>
      </c>
      <c r="D484" s="30" t="s">
        <v>214</v>
      </c>
      <c r="E484" s="30" t="s">
        <v>702</v>
      </c>
      <c r="F484" s="41">
        <f>F485</f>
        <v>33920.699999999997</v>
      </c>
    </row>
    <row r="485" spans="1:6" s="39" customFormat="1" ht="15" x14ac:dyDescent="0.2">
      <c r="A485" s="84" t="s">
        <v>247</v>
      </c>
      <c r="B485" s="30" t="s">
        <v>96</v>
      </c>
      <c r="C485" s="30" t="s">
        <v>822</v>
      </c>
      <c r="D485" s="30" t="s">
        <v>214</v>
      </c>
      <c r="E485" s="30" t="s">
        <v>724</v>
      </c>
      <c r="F485" s="41">
        <v>33920.699999999997</v>
      </c>
    </row>
    <row r="486" spans="1:6" s="39" customFormat="1" ht="24" x14ac:dyDescent="0.2">
      <c r="A486" s="80" t="s">
        <v>466</v>
      </c>
      <c r="B486" s="24" t="s">
        <v>436</v>
      </c>
      <c r="C486" s="24"/>
      <c r="D486" s="24"/>
      <c r="E486" s="24"/>
      <c r="F486" s="42">
        <f>F487</f>
        <v>29504.621319999998</v>
      </c>
    </row>
    <row r="487" spans="1:6" s="39" customFormat="1" ht="15" x14ac:dyDescent="0.2">
      <c r="A487" s="61" t="s">
        <v>689</v>
      </c>
      <c r="B487" s="24" t="s">
        <v>94</v>
      </c>
      <c r="C487" s="24" t="s">
        <v>822</v>
      </c>
      <c r="D487" s="24"/>
      <c r="E487" s="24"/>
      <c r="F487" s="42">
        <f>F488</f>
        <v>29504.621319999998</v>
      </c>
    </row>
    <row r="488" spans="1:6" s="39" customFormat="1" ht="15" x14ac:dyDescent="0.2">
      <c r="A488" s="61" t="s">
        <v>678</v>
      </c>
      <c r="B488" s="24" t="s">
        <v>94</v>
      </c>
      <c r="C488" s="24" t="s">
        <v>822</v>
      </c>
      <c r="D488" s="24" t="s">
        <v>214</v>
      </c>
      <c r="E488" s="24"/>
      <c r="F488" s="42">
        <f>F489</f>
        <v>29504.621319999998</v>
      </c>
    </row>
    <row r="489" spans="1:6" s="39" customFormat="1" ht="15" x14ac:dyDescent="0.2">
      <c r="A489" s="85" t="s">
        <v>730</v>
      </c>
      <c r="B489" s="33" t="s">
        <v>94</v>
      </c>
      <c r="C489" s="33" t="s">
        <v>822</v>
      </c>
      <c r="D489" s="33" t="s">
        <v>214</v>
      </c>
      <c r="E489" s="33"/>
      <c r="F489" s="101">
        <f>F490</f>
        <v>29504.621319999998</v>
      </c>
    </row>
    <row r="490" spans="1:6" s="39" customFormat="1" ht="24" x14ac:dyDescent="0.2">
      <c r="A490" s="84" t="s">
        <v>246</v>
      </c>
      <c r="B490" s="30" t="s">
        <v>94</v>
      </c>
      <c r="C490" s="30" t="s">
        <v>822</v>
      </c>
      <c r="D490" s="30" t="s">
        <v>214</v>
      </c>
      <c r="E490" s="30" t="s">
        <v>702</v>
      </c>
      <c r="F490" s="41">
        <f>F491</f>
        <v>29504.621319999998</v>
      </c>
    </row>
    <row r="491" spans="1:6" s="39" customFormat="1" ht="15" x14ac:dyDescent="0.2">
      <c r="A491" s="84" t="s">
        <v>247</v>
      </c>
      <c r="B491" s="30" t="s">
        <v>94</v>
      </c>
      <c r="C491" s="30" t="s">
        <v>822</v>
      </c>
      <c r="D491" s="30" t="s">
        <v>214</v>
      </c>
      <c r="E491" s="30" t="s">
        <v>724</v>
      </c>
      <c r="F491" s="41">
        <f>11087.1+18417.52132</f>
        <v>29504.621319999998</v>
      </c>
    </row>
    <row r="492" spans="1:6" s="39" customFormat="1" ht="15" x14ac:dyDescent="0.2">
      <c r="A492" s="80" t="s">
        <v>296</v>
      </c>
      <c r="B492" s="24" t="s">
        <v>293</v>
      </c>
      <c r="C492" s="24"/>
      <c r="D492" s="24"/>
      <c r="E492" s="24"/>
      <c r="F492" s="42">
        <f>F493</f>
        <v>86.798090000000002</v>
      </c>
    </row>
    <row r="493" spans="1:6" s="39" customFormat="1" ht="15" x14ac:dyDescent="0.2">
      <c r="A493" s="61" t="s">
        <v>689</v>
      </c>
      <c r="B493" s="24" t="s">
        <v>293</v>
      </c>
      <c r="C493" s="24" t="s">
        <v>822</v>
      </c>
      <c r="D493" s="24"/>
      <c r="E493" s="24"/>
      <c r="F493" s="42">
        <f>F494</f>
        <v>86.798090000000002</v>
      </c>
    </row>
    <row r="494" spans="1:6" s="39" customFormat="1" ht="15" x14ac:dyDescent="0.2">
      <c r="A494" s="61" t="s">
        <v>678</v>
      </c>
      <c r="B494" s="24" t="s">
        <v>293</v>
      </c>
      <c r="C494" s="24" t="s">
        <v>822</v>
      </c>
      <c r="D494" s="24" t="s">
        <v>214</v>
      </c>
      <c r="E494" s="24"/>
      <c r="F494" s="42">
        <f>F495</f>
        <v>86.798090000000002</v>
      </c>
    </row>
    <row r="495" spans="1:6" s="39" customFormat="1" ht="24" x14ac:dyDescent="0.2">
      <c r="A495" s="84" t="s">
        <v>246</v>
      </c>
      <c r="B495" s="30" t="s">
        <v>293</v>
      </c>
      <c r="C495" s="30" t="s">
        <v>822</v>
      </c>
      <c r="D495" s="30" t="s">
        <v>214</v>
      </c>
      <c r="E495" s="30" t="s">
        <v>702</v>
      </c>
      <c r="F495" s="41">
        <f>F496</f>
        <v>86.798090000000002</v>
      </c>
    </row>
    <row r="496" spans="1:6" s="39" customFormat="1" ht="15" x14ac:dyDescent="0.2">
      <c r="A496" s="84" t="s">
        <v>247</v>
      </c>
      <c r="B496" s="30" t="s">
        <v>293</v>
      </c>
      <c r="C496" s="30" t="s">
        <v>822</v>
      </c>
      <c r="D496" s="30" t="s">
        <v>214</v>
      </c>
      <c r="E496" s="30" t="s">
        <v>724</v>
      </c>
      <c r="F496" s="41">
        <v>86.798090000000002</v>
      </c>
    </row>
    <row r="497" spans="1:6" s="39" customFormat="1" ht="24" x14ac:dyDescent="0.2">
      <c r="A497" s="80" t="s">
        <v>140</v>
      </c>
      <c r="B497" s="24" t="s">
        <v>437</v>
      </c>
      <c r="C497" s="24"/>
      <c r="D497" s="24"/>
      <c r="E497" s="24"/>
      <c r="F497" s="117">
        <f>F498</f>
        <v>38358</v>
      </c>
    </row>
    <row r="498" spans="1:6" s="39" customFormat="1" ht="15" x14ac:dyDescent="0.2">
      <c r="A498" s="61" t="s">
        <v>689</v>
      </c>
      <c r="B498" s="24" t="s">
        <v>437</v>
      </c>
      <c r="C498" s="24" t="s">
        <v>822</v>
      </c>
      <c r="D498" s="24"/>
      <c r="E498" s="24"/>
      <c r="F498" s="42">
        <f>F499</f>
        <v>38358</v>
      </c>
    </row>
    <row r="499" spans="1:6" s="39" customFormat="1" ht="15" x14ac:dyDescent="0.2">
      <c r="A499" s="61" t="s">
        <v>678</v>
      </c>
      <c r="B499" s="24" t="s">
        <v>437</v>
      </c>
      <c r="C499" s="24" t="s">
        <v>822</v>
      </c>
      <c r="D499" s="24" t="s">
        <v>214</v>
      </c>
      <c r="E499" s="24"/>
      <c r="F499" s="42">
        <f>F500</f>
        <v>38358</v>
      </c>
    </row>
    <row r="500" spans="1:6" s="39" customFormat="1" ht="24" x14ac:dyDescent="0.2">
      <c r="A500" s="84" t="s">
        <v>246</v>
      </c>
      <c r="B500" s="30" t="s">
        <v>437</v>
      </c>
      <c r="C500" s="30" t="s">
        <v>822</v>
      </c>
      <c r="D500" s="30" t="s">
        <v>214</v>
      </c>
      <c r="E500" s="30" t="s">
        <v>702</v>
      </c>
      <c r="F500" s="118">
        <f>F501</f>
        <v>38358</v>
      </c>
    </row>
    <row r="501" spans="1:6" s="39" customFormat="1" ht="15" x14ac:dyDescent="0.2">
      <c r="A501" s="84" t="s">
        <v>247</v>
      </c>
      <c r="B501" s="30" t="s">
        <v>437</v>
      </c>
      <c r="C501" s="30" t="s">
        <v>822</v>
      </c>
      <c r="D501" s="30" t="s">
        <v>214</v>
      </c>
      <c r="E501" s="30" t="s">
        <v>724</v>
      </c>
      <c r="F501" s="118">
        <f>36758+1600</f>
        <v>38358</v>
      </c>
    </row>
    <row r="502" spans="1:6" s="39" customFormat="1" ht="24" x14ac:dyDescent="0.2">
      <c r="A502" s="80" t="s">
        <v>440</v>
      </c>
      <c r="B502" s="24" t="s">
        <v>442</v>
      </c>
      <c r="C502" s="24"/>
      <c r="D502" s="24"/>
      <c r="E502" s="24"/>
      <c r="F502" s="42">
        <f>F503</f>
        <v>4163.8</v>
      </c>
    </row>
    <row r="503" spans="1:6" s="39" customFormat="1" ht="24" x14ac:dyDescent="0.2">
      <c r="A503" s="80" t="s">
        <v>441</v>
      </c>
      <c r="B503" s="24" t="s">
        <v>442</v>
      </c>
      <c r="C503" s="24"/>
      <c r="D503" s="24"/>
      <c r="E503" s="24"/>
      <c r="F503" s="42">
        <f>F504</f>
        <v>4163.8</v>
      </c>
    </row>
    <row r="504" spans="1:6" s="39" customFormat="1" ht="24" x14ac:dyDescent="0.2">
      <c r="A504" s="83" t="s">
        <v>704</v>
      </c>
      <c r="B504" s="33" t="s">
        <v>442</v>
      </c>
      <c r="C504" s="25"/>
      <c r="D504" s="25"/>
      <c r="E504" s="25"/>
      <c r="F504" s="45">
        <f>F505+F510</f>
        <v>4163.8</v>
      </c>
    </row>
    <row r="505" spans="1:6" s="39" customFormat="1" ht="15" x14ac:dyDescent="0.2">
      <c r="A505" s="82" t="s">
        <v>685</v>
      </c>
      <c r="B505" s="24" t="s">
        <v>210</v>
      </c>
      <c r="C505" s="24"/>
      <c r="D505" s="24"/>
      <c r="E505" s="24"/>
      <c r="F505" s="42">
        <f>F506</f>
        <v>3860.2</v>
      </c>
    </row>
    <row r="506" spans="1:6" s="39" customFormat="1" ht="15" x14ac:dyDescent="0.2">
      <c r="A506" s="61" t="s">
        <v>689</v>
      </c>
      <c r="B506" s="24" t="s">
        <v>210</v>
      </c>
      <c r="C506" s="24" t="s">
        <v>822</v>
      </c>
      <c r="D506" s="24"/>
      <c r="E506" s="24"/>
      <c r="F506" s="42">
        <f>F507</f>
        <v>3860.2</v>
      </c>
    </row>
    <row r="507" spans="1:6" s="39" customFormat="1" ht="15" x14ac:dyDescent="0.2">
      <c r="A507" s="61" t="s">
        <v>799</v>
      </c>
      <c r="B507" s="24" t="s">
        <v>210</v>
      </c>
      <c r="C507" s="24" t="s">
        <v>822</v>
      </c>
      <c r="D507" s="24" t="s">
        <v>216</v>
      </c>
      <c r="E507" s="24"/>
      <c r="F507" s="42">
        <f>F508</f>
        <v>3860.2</v>
      </c>
    </row>
    <row r="508" spans="1:6" s="39" customFormat="1" ht="36" x14ac:dyDescent="0.2">
      <c r="A508" s="84" t="s">
        <v>217</v>
      </c>
      <c r="B508" s="30" t="s">
        <v>210</v>
      </c>
      <c r="C508" s="30" t="s">
        <v>822</v>
      </c>
      <c r="D508" s="30" t="s">
        <v>216</v>
      </c>
      <c r="E508" s="30" t="s">
        <v>218</v>
      </c>
      <c r="F508" s="41">
        <f>F509</f>
        <v>3860.2</v>
      </c>
    </row>
    <row r="509" spans="1:6" s="39" customFormat="1" ht="15" x14ac:dyDescent="0.2">
      <c r="A509" s="84" t="s">
        <v>219</v>
      </c>
      <c r="B509" s="30" t="s">
        <v>210</v>
      </c>
      <c r="C509" s="30" t="s">
        <v>822</v>
      </c>
      <c r="D509" s="30" t="s">
        <v>216</v>
      </c>
      <c r="E509" s="30" t="s">
        <v>224</v>
      </c>
      <c r="F509" s="41">
        <f>3775+85.2</f>
        <v>3860.2</v>
      </c>
    </row>
    <row r="510" spans="1:6" s="39" customFormat="1" ht="15" x14ac:dyDescent="0.2">
      <c r="A510" s="80" t="s">
        <v>225</v>
      </c>
      <c r="B510" s="24" t="s">
        <v>211</v>
      </c>
      <c r="C510" s="24"/>
      <c r="D510" s="24"/>
      <c r="E510" s="24"/>
      <c r="F510" s="42">
        <f>F511</f>
        <v>303.60000000000002</v>
      </c>
    </row>
    <row r="511" spans="1:6" s="39" customFormat="1" ht="15" x14ac:dyDescent="0.2">
      <c r="A511" s="61" t="s">
        <v>689</v>
      </c>
      <c r="B511" s="24" t="s">
        <v>211</v>
      </c>
      <c r="C511" s="24" t="s">
        <v>822</v>
      </c>
      <c r="D511" s="24"/>
      <c r="E511" s="24"/>
      <c r="F511" s="42">
        <f>F512</f>
        <v>303.60000000000002</v>
      </c>
    </row>
    <row r="512" spans="1:6" s="39" customFormat="1" ht="15" x14ac:dyDescent="0.2">
      <c r="A512" s="61" t="s">
        <v>799</v>
      </c>
      <c r="B512" s="24" t="s">
        <v>211</v>
      </c>
      <c r="C512" s="24" t="s">
        <v>822</v>
      </c>
      <c r="D512" s="24" t="s">
        <v>216</v>
      </c>
      <c r="E512" s="24"/>
      <c r="F512" s="42">
        <f>F513+F515</f>
        <v>303.60000000000002</v>
      </c>
    </row>
    <row r="513" spans="1:6" s="39" customFormat="1" ht="15" x14ac:dyDescent="0.2">
      <c r="A513" s="84" t="s">
        <v>473</v>
      </c>
      <c r="B513" s="30" t="s">
        <v>211</v>
      </c>
      <c r="C513" s="30" t="s">
        <v>822</v>
      </c>
      <c r="D513" s="30" t="s">
        <v>216</v>
      </c>
      <c r="E513" s="30" t="s">
        <v>226</v>
      </c>
      <c r="F513" s="41">
        <f>F514</f>
        <v>271.8</v>
      </c>
    </row>
    <row r="514" spans="1:6" s="39" customFormat="1" ht="24" x14ac:dyDescent="0.2">
      <c r="A514" s="84" t="s">
        <v>227</v>
      </c>
      <c r="B514" s="30" t="s">
        <v>211</v>
      </c>
      <c r="C514" s="30" t="s">
        <v>822</v>
      </c>
      <c r="D514" s="30" t="s">
        <v>216</v>
      </c>
      <c r="E514" s="30" t="s">
        <v>228</v>
      </c>
      <c r="F514" s="41">
        <f>248.8+23</f>
        <v>271.8</v>
      </c>
    </row>
    <row r="515" spans="1:6" s="39" customFormat="1" ht="15" x14ac:dyDescent="0.2">
      <c r="A515" s="84" t="s">
        <v>229</v>
      </c>
      <c r="B515" s="30" t="s">
        <v>211</v>
      </c>
      <c r="C515" s="30" t="s">
        <v>822</v>
      </c>
      <c r="D515" s="30" t="s">
        <v>216</v>
      </c>
      <c r="E515" s="30" t="s">
        <v>230</v>
      </c>
      <c r="F515" s="41">
        <f>F516</f>
        <v>31.799999999999997</v>
      </c>
    </row>
    <row r="516" spans="1:6" s="39" customFormat="1" ht="15" x14ac:dyDescent="0.2">
      <c r="A516" s="84" t="s">
        <v>106</v>
      </c>
      <c r="B516" s="30" t="s">
        <v>211</v>
      </c>
      <c r="C516" s="30" t="s">
        <v>822</v>
      </c>
      <c r="D516" s="30" t="s">
        <v>216</v>
      </c>
      <c r="E516" s="30" t="s">
        <v>231</v>
      </c>
      <c r="F516" s="41">
        <f>140-108.2</f>
        <v>31.799999999999997</v>
      </c>
    </row>
    <row r="517" spans="1:6" s="39" customFormat="1" ht="27" x14ac:dyDescent="0.2">
      <c r="A517" s="152" t="s">
        <v>65</v>
      </c>
      <c r="B517" s="154" t="s">
        <v>410</v>
      </c>
      <c r="C517" s="154"/>
      <c r="D517" s="154"/>
      <c r="E517" s="154"/>
      <c r="F517" s="156">
        <f>F518+F524+F530+F546+F554+F565+F570</f>
        <v>284362.2464</v>
      </c>
    </row>
    <row r="518" spans="1:6" s="39" customFormat="1" ht="15" x14ac:dyDescent="0.2">
      <c r="A518" s="80" t="s">
        <v>197</v>
      </c>
      <c r="B518" s="24" t="s">
        <v>413</v>
      </c>
      <c r="C518" s="24"/>
      <c r="D518" s="24"/>
      <c r="E518" s="24"/>
      <c r="F518" s="42">
        <f>F519</f>
        <v>7000</v>
      </c>
    </row>
    <row r="519" spans="1:6" s="39" customFormat="1" ht="15" x14ac:dyDescent="0.2">
      <c r="A519" s="75" t="s">
        <v>414</v>
      </c>
      <c r="B519" s="104" t="s">
        <v>67</v>
      </c>
      <c r="C519" s="24"/>
      <c r="D519" s="24"/>
      <c r="E519" s="24"/>
      <c r="F519" s="42">
        <f>F520</f>
        <v>7000</v>
      </c>
    </row>
    <row r="520" spans="1:6" s="39" customFormat="1" ht="15" x14ac:dyDescent="0.2">
      <c r="A520" s="61" t="s">
        <v>667</v>
      </c>
      <c r="B520" s="24" t="s">
        <v>67</v>
      </c>
      <c r="C520" s="24" t="s">
        <v>731</v>
      </c>
      <c r="D520" s="24"/>
      <c r="E520" s="24"/>
      <c r="F520" s="42">
        <f>F521</f>
        <v>7000</v>
      </c>
    </row>
    <row r="521" spans="1:6" s="39" customFormat="1" ht="15" x14ac:dyDescent="0.2">
      <c r="A521" s="61" t="s">
        <v>668</v>
      </c>
      <c r="B521" s="24" t="s">
        <v>67</v>
      </c>
      <c r="C521" s="24" t="s">
        <v>731</v>
      </c>
      <c r="D521" s="24" t="s">
        <v>214</v>
      </c>
      <c r="E521" s="24"/>
      <c r="F521" s="42">
        <f>F522</f>
        <v>7000</v>
      </c>
    </row>
    <row r="522" spans="1:6" s="39" customFormat="1" ht="15" x14ac:dyDescent="0.2">
      <c r="A522" s="84" t="s">
        <v>473</v>
      </c>
      <c r="B522" s="30" t="s">
        <v>67</v>
      </c>
      <c r="C522" s="30" t="s">
        <v>731</v>
      </c>
      <c r="D522" s="30" t="s">
        <v>214</v>
      </c>
      <c r="E522" s="30" t="s">
        <v>226</v>
      </c>
      <c r="F522" s="41">
        <f>F523</f>
        <v>7000</v>
      </c>
    </row>
    <row r="523" spans="1:6" s="39" customFormat="1" ht="24" x14ac:dyDescent="0.2">
      <c r="A523" s="84" t="s">
        <v>227</v>
      </c>
      <c r="B523" s="30" t="s">
        <v>67</v>
      </c>
      <c r="C523" s="30" t="s">
        <v>731</v>
      </c>
      <c r="D523" s="30" t="s">
        <v>214</v>
      </c>
      <c r="E523" s="30" t="s">
        <v>228</v>
      </c>
      <c r="F523" s="41">
        <v>7000</v>
      </c>
    </row>
    <row r="524" spans="1:6" s="39" customFormat="1" ht="15" x14ac:dyDescent="0.2">
      <c r="A524" s="80" t="s">
        <v>412</v>
      </c>
      <c r="B524" s="24" t="s">
        <v>411</v>
      </c>
      <c r="C524" s="24"/>
      <c r="D524" s="24"/>
      <c r="E524" s="24"/>
      <c r="F524" s="42">
        <f>F525</f>
        <v>3500</v>
      </c>
    </row>
    <row r="525" spans="1:6" s="39" customFormat="1" ht="15" x14ac:dyDescent="0.2">
      <c r="A525" s="128" t="s">
        <v>718</v>
      </c>
      <c r="B525" s="104" t="s">
        <v>66</v>
      </c>
      <c r="C525" s="24"/>
      <c r="D525" s="24"/>
      <c r="E525" s="24"/>
      <c r="F525" s="42">
        <f>F526</f>
        <v>3500</v>
      </c>
    </row>
    <row r="526" spans="1:6" s="39" customFormat="1" ht="15" x14ac:dyDescent="0.2">
      <c r="A526" s="61" t="s">
        <v>655</v>
      </c>
      <c r="B526" s="24" t="s">
        <v>66</v>
      </c>
      <c r="C526" s="24" t="s">
        <v>216</v>
      </c>
      <c r="D526" s="24"/>
      <c r="E526" s="24"/>
      <c r="F526" s="42">
        <f>F527</f>
        <v>3500</v>
      </c>
    </row>
    <row r="527" spans="1:6" s="39" customFormat="1" ht="15" x14ac:dyDescent="0.2">
      <c r="A527" s="61" t="s">
        <v>698</v>
      </c>
      <c r="B527" s="24" t="s">
        <v>66</v>
      </c>
      <c r="C527" s="24" t="s">
        <v>216</v>
      </c>
      <c r="D527" s="24" t="s">
        <v>823</v>
      </c>
      <c r="E527" s="24"/>
      <c r="F527" s="42">
        <f>F528</f>
        <v>3500</v>
      </c>
    </row>
    <row r="528" spans="1:6" s="39" customFormat="1" ht="15" x14ac:dyDescent="0.2">
      <c r="A528" s="84" t="s">
        <v>473</v>
      </c>
      <c r="B528" s="30" t="s">
        <v>66</v>
      </c>
      <c r="C528" s="30" t="s">
        <v>216</v>
      </c>
      <c r="D528" s="30" t="s">
        <v>823</v>
      </c>
      <c r="E528" s="30" t="s">
        <v>226</v>
      </c>
      <c r="F528" s="41">
        <f>F529</f>
        <v>3500</v>
      </c>
    </row>
    <row r="529" spans="1:6" s="39" customFormat="1" ht="24" x14ac:dyDescent="0.2">
      <c r="A529" s="84" t="s">
        <v>227</v>
      </c>
      <c r="B529" s="30" t="s">
        <v>66</v>
      </c>
      <c r="C529" s="30" t="s">
        <v>216</v>
      </c>
      <c r="D529" s="30" t="s">
        <v>823</v>
      </c>
      <c r="E529" s="30" t="s">
        <v>228</v>
      </c>
      <c r="F529" s="41">
        <f>2000+1500</f>
        <v>3500</v>
      </c>
    </row>
    <row r="530" spans="1:6" s="39" customFormat="1" ht="24" x14ac:dyDescent="0.2">
      <c r="A530" s="80" t="s">
        <v>274</v>
      </c>
      <c r="B530" s="24" t="s">
        <v>416</v>
      </c>
      <c r="C530" s="24"/>
      <c r="D530" s="24"/>
      <c r="E530" s="24"/>
      <c r="F530" s="42">
        <f>F531+F536+F541</f>
        <v>3000</v>
      </c>
    </row>
    <row r="531" spans="1:6" s="39" customFormat="1" ht="15" x14ac:dyDescent="0.2">
      <c r="A531" s="80" t="s">
        <v>587</v>
      </c>
      <c r="B531" s="24" t="s">
        <v>588</v>
      </c>
      <c r="C531" s="24"/>
      <c r="D531" s="24"/>
      <c r="E531" s="30"/>
      <c r="F531" s="117">
        <f t="shared" ref="F531:F534" si="0">F532</f>
        <v>1100</v>
      </c>
    </row>
    <row r="532" spans="1:6" s="39" customFormat="1" ht="15" x14ac:dyDescent="0.2">
      <c r="A532" s="61" t="s">
        <v>667</v>
      </c>
      <c r="B532" s="24" t="s">
        <v>588</v>
      </c>
      <c r="C532" s="24" t="s">
        <v>731</v>
      </c>
      <c r="D532" s="30"/>
      <c r="E532" s="30"/>
      <c r="F532" s="117">
        <f t="shared" si="0"/>
        <v>1100</v>
      </c>
    </row>
    <row r="533" spans="1:6" s="39" customFormat="1" ht="15" x14ac:dyDescent="0.2">
      <c r="A533" s="61" t="s">
        <v>669</v>
      </c>
      <c r="B533" s="24" t="s">
        <v>588</v>
      </c>
      <c r="C533" s="24" t="s">
        <v>731</v>
      </c>
      <c r="D533" s="24" t="s">
        <v>825</v>
      </c>
      <c r="E533" s="30"/>
      <c r="F533" s="117">
        <f t="shared" si="0"/>
        <v>1100</v>
      </c>
    </row>
    <row r="534" spans="1:6" s="39" customFormat="1" ht="24" x14ac:dyDescent="0.2">
      <c r="A534" s="84" t="s">
        <v>732</v>
      </c>
      <c r="B534" s="30" t="s">
        <v>588</v>
      </c>
      <c r="C534" s="52" t="s">
        <v>731</v>
      </c>
      <c r="D534" s="52" t="s">
        <v>825</v>
      </c>
      <c r="E534" s="30" t="s">
        <v>733</v>
      </c>
      <c r="F534" s="118">
        <f t="shared" si="0"/>
        <v>1100</v>
      </c>
    </row>
    <row r="535" spans="1:6" s="39" customFormat="1" ht="15" x14ac:dyDescent="0.2">
      <c r="A535" s="84" t="s">
        <v>734</v>
      </c>
      <c r="B535" s="30" t="s">
        <v>588</v>
      </c>
      <c r="C535" s="30" t="s">
        <v>731</v>
      </c>
      <c r="D535" s="30" t="s">
        <v>825</v>
      </c>
      <c r="E535" s="30" t="s">
        <v>735</v>
      </c>
      <c r="F535" s="118">
        <v>1100</v>
      </c>
    </row>
    <row r="536" spans="1:6" s="39" customFormat="1" ht="24" x14ac:dyDescent="0.2">
      <c r="A536" s="80" t="s">
        <v>717</v>
      </c>
      <c r="B536" s="24" t="s">
        <v>76</v>
      </c>
      <c r="C536" s="24"/>
      <c r="D536" s="24"/>
      <c r="E536" s="24"/>
      <c r="F536" s="117">
        <f>F537</f>
        <v>1900</v>
      </c>
    </row>
    <row r="537" spans="1:6" s="39" customFormat="1" ht="15" x14ac:dyDescent="0.2">
      <c r="A537" s="61" t="s">
        <v>667</v>
      </c>
      <c r="B537" s="24" t="s">
        <v>76</v>
      </c>
      <c r="C537" s="24" t="s">
        <v>731</v>
      </c>
      <c r="D537" s="30"/>
      <c r="E537" s="30"/>
      <c r="F537" s="42">
        <f>F538</f>
        <v>1900</v>
      </c>
    </row>
    <row r="538" spans="1:6" s="39" customFormat="1" ht="15" x14ac:dyDescent="0.2">
      <c r="A538" s="61" t="s">
        <v>669</v>
      </c>
      <c r="B538" s="24" t="s">
        <v>76</v>
      </c>
      <c r="C538" s="24" t="s">
        <v>731</v>
      </c>
      <c r="D538" s="24" t="s">
        <v>825</v>
      </c>
      <c r="E538" s="30"/>
      <c r="F538" s="42">
        <f>F539</f>
        <v>1900</v>
      </c>
    </row>
    <row r="539" spans="1:6" s="39" customFormat="1" ht="15" x14ac:dyDescent="0.2">
      <c r="A539" s="84" t="s">
        <v>473</v>
      </c>
      <c r="B539" s="30" t="s">
        <v>76</v>
      </c>
      <c r="C539" s="30" t="s">
        <v>731</v>
      </c>
      <c r="D539" s="30" t="s">
        <v>825</v>
      </c>
      <c r="E539" s="30" t="s">
        <v>226</v>
      </c>
      <c r="F539" s="118">
        <f>F540</f>
        <v>1900</v>
      </c>
    </row>
    <row r="540" spans="1:6" s="39" customFormat="1" ht="24" x14ac:dyDescent="0.2">
      <c r="A540" s="84" t="s">
        <v>227</v>
      </c>
      <c r="B540" s="30" t="s">
        <v>76</v>
      </c>
      <c r="C540" s="30" t="s">
        <v>731</v>
      </c>
      <c r="D540" s="30" t="s">
        <v>825</v>
      </c>
      <c r="E540" s="30" t="s">
        <v>228</v>
      </c>
      <c r="F540" s="118">
        <f>1000+900</f>
        <v>1900</v>
      </c>
    </row>
    <row r="541" spans="1:6" s="39" customFormat="1" ht="24" x14ac:dyDescent="0.2">
      <c r="A541" s="80" t="s">
        <v>77</v>
      </c>
      <c r="B541" s="24" t="s">
        <v>78</v>
      </c>
      <c r="C541" s="24"/>
      <c r="D541" s="24"/>
      <c r="E541" s="24"/>
      <c r="F541" s="117">
        <f>F542</f>
        <v>0</v>
      </c>
    </row>
    <row r="542" spans="1:6" s="39" customFormat="1" ht="15" x14ac:dyDescent="0.2">
      <c r="A542" s="61" t="s">
        <v>667</v>
      </c>
      <c r="B542" s="24" t="s">
        <v>78</v>
      </c>
      <c r="C542" s="24" t="s">
        <v>731</v>
      </c>
      <c r="D542" s="30"/>
      <c r="E542" s="30"/>
      <c r="F542" s="227">
        <f>F543</f>
        <v>0</v>
      </c>
    </row>
    <row r="543" spans="1:6" s="39" customFormat="1" ht="15" x14ac:dyDescent="0.2">
      <c r="A543" s="61" t="s">
        <v>669</v>
      </c>
      <c r="B543" s="24" t="s">
        <v>78</v>
      </c>
      <c r="C543" s="24" t="s">
        <v>731</v>
      </c>
      <c r="D543" s="24" t="s">
        <v>825</v>
      </c>
      <c r="E543" s="30"/>
      <c r="F543" s="227">
        <f>F544</f>
        <v>0</v>
      </c>
    </row>
    <row r="544" spans="1:6" s="39" customFormat="1" ht="15" x14ac:dyDescent="0.2">
      <c r="A544" s="84" t="s">
        <v>473</v>
      </c>
      <c r="B544" s="30" t="s">
        <v>78</v>
      </c>
      <c r="C544" s="30" t="s">
        <v>731</v>
      </c>
      <c r="D544" s="30" t="s">
        <v>825</v>
      </c>
      <c r="E544" s="30" t="s">
        <v>226</v>
      </c>
      <c r="F544" s="118">
        <f>F545</f>
        <v>0</v>
      </c>
    </row>
    <row r="545" spans="1:6" s="39" customFormat="1" ht="24" x14ac:dyDescent="0.2">
      <c r="A545" s="84" t="s">
        <v>227</v>
      </c>
      <c r="B545" s="30" t="s">
        <v>78</v>
      </c>
      <c r="C545" s="30" t="s">
        <v>731</v>
      </c>
      <c r="D545" s="30" t="s">
        <v>825</v>
      </c>
      <c r="E545" s="30" t="s">
        <v>228</v>
      </c>
      <c r="F545" s="118">
        <f>1000-900-100</f>
        <v>0</v>
      </c>
    </row>
    <row r="546" spans="1:6" s="39" customFormat="1" ht="24" x14ac:dyDescent="0.2">
      <c r="A546" s="80" t="s">
        <v>719</v>
      </c>
      <c r="B546" s="24" t="s">
        <v>308</v>
      </c>
      <c r="C546" s="24"/>
      <c r="D546" s="24"/>
      <c r="E546" s="30"/>
      <c r="F546" s="42">
        <f>F547</f>
        <v>59700</v>
      </c>
    </row>
    <row r="547" spans="1:6" s="39" customFormat="1" ht="24" x14ac:dyDescent="0.2">
      <c r="A547" s="80" t="s">
        <v>720</v>
      </c>
      <c r="B547" s="24" t="s">
        <v>74</v>
      </c>
      <c r="C547" s="24"/>
      <c r="D547" s="24"/>
      <c r="E547" s="30"/>
      <c r="F547" s="42">
        <f>F548</f>
        <v>59700</v>
      </c>
    </row>
    <row r="548" spans="1:6" s="39" customFormat="1" ht="15" x14ac:dyDescent="0.2">
      <c r="A548" s="61" t="s">
        <v>667</v>
      </c>
      <c r="B548" s="24" t="s">
        <v>74</v>
      </c>
      <c r="C548" s="24" t="s">
        <v>731</v>
      </c>
      <c r="D548" s="30"/>
      <c r="E548" s="30"/>
      <c r="F548" s="42">
        <f>F549</f>
        <v>59700</v>
      </c>
    </row>
    <row r="549" spans="1:6" s="39" customFormat="1" ht="15" x14ac:dyDescent="0.2">
      <c r="A549" s="61" t="s">
        <v>669</v>
      </c>
      <c r="B549" s="24" t="s">
        <v>74</v>
      </c>
      <c r="C549" s="24" t="s">
        <v>731</v>
      </c>
      <c r="D549" s="24" t="s">
        <v>825</v>
      </c>
      <c r="E549" s="30"/>
      <c r="F549" s="42">
        <f>F550+F552</f>
        <v>59700</v>
      </c>
    </row>
    <row r="550" spans="1:6" s="39" customFormat="1" ht="15" x14ac:dyDescent="0.2">
      <c r="A550" s="84" t="s">
        <v>473</v>
      </c>
      <c r="B550" s="30" t="s">
        <v>74</v>
      </c>
      <c r="C550" s="30" t="s">
        <v>731</v>
      </c>
      <c r="D550" s="30" t="s">
        <v>825</v>
      </c>
      <c r="E550" s="30" t="s">
        <v>226</v>
      </c>
      <c r="F550" s="41">
        <f>F551</f>
        <v>15260</v>
      </c>
    </row>
    <row r="551" spans="1:6" s="39" customFormat="1" ht="24" x14ac:dyDescent="0.2">
      <c r="A551" s="84" t="s">
        <v>227</v>
      </c>
      <c r="B551" s="30" t="s">
        <v>74</v>
      </c>
      <c r="C551" s="30" t="s">
        <v>731</v>
      </c>
      <c r="D551" s="30" t="s">
        <v>825</v>
      </c>
      <c r="E551" s="30" t="s">
        <v>228</v>
      </c>
      <c r="F551" s="41">
        <f>3000+500+4760+7000</f>
        <v>15260</v>
      </c>
    </row>
    <row r="552" spans="1:6" s="39" customFormat="1" ht="24" x14ac:dyDescent="0.2">
      <c r="A552" s="84" t="s">
        <v>732</v>
      </c>
      <c r="B552" s="30" t="s">
        <v>74</v>
      </c>
      <c r="C552" s="52" t="s">
        <v>731</v>
      </c>
      <c r="D552" s="52" t="s">
        <v>825</v>
      </c>
      <c r="E552" s="30" t="s">
        <v>733</v>
      </c>
      <c r="F552" s="41">
        <f>F553</f>
        <v>44440</v>
      </c>
    </row>
    <row r="553" spans="1:6" s="39" customFormat="1" ht="15" x14ac:dyDescent="0.2">
      <c r="A553" s="84" t="s">
        <v>734</v>
      </c>
      <c r="B553" s="30" t="s">
        <v>74</v>
      </c>
      <c r="C553" s="30" t="s">
        <v>731</v>
      </c>
      <c r="D553" s="30" t="s">
        <v>825</v>
      </c>
      <c r="E553" s="30" t="s">
        <v>735</v>
      </c>
      <c r="F553" s="41">
        <f>40600+8600-4760</f>
        <v>44440</v>
      </c>
    </row>
    <row r="554" spans="1:6" s="39" customFormat="1" ht="15" x14ac:dyDescent="0.2">
      <c r="A554" s="80" t="s">
        <v>68</v>
      </c>
      <c r="B554" s="24" t="s">
        <v>69</v>
      </c>
      <c r="C554" s="24"/>
      <c r="D554" s="24"/>
      <c r="E554" s="30"/>
      <c r="F554" s="42">
        <f>F555+F560</f>
        <v>8200</v>
      </c>
    </row>
    <row r="555" spans="1:6" s="39" customFormat="1" ht="36" x14ac:dyDescent="0.2">
      <c r="A555" s="126" t="s">
        <v>852</v>
      </c>
      <c r="B555" s="24" t="s">
        <v>70</v>
      </c>
      <c r="C555" s="24"/>
      <c r="D555" s="24"/>
      <c r="E555" s="24"/>
      <c r="F555" s="42">
        <f>F556</f>
        <v>700</v>
      </c>
    </row>
    <row r="556" spans="1:6" s="39" customFormat="1" ht="15" x14ac:dyDescent="0.2">
      <c r="A556" s="61" t="s">
        <v>667</v>
      </c>
      <c r="B556" s="24" t="s">
        <v>70</v>
      </c>
      <c r="C556" s="24" t="s">
        <v>731</v>
      </c>
      <c r="D556" s="24"/>
      <c r="E556" s="24"/>
      <c r="F556" s="42">
        <f>F557</f>
        <v>700</v>
      </c>
    </row>
    <row r="557" spans="1:6" s="39" customFormat="1" ht="15" x14ac:dyDescent="0.2">
      <c r="A557" s="61" t="s">
        <v>668</v>
      </c>
      <c r="B557" s="24" t="s">
        <v>70</v>
      </c>
      <c r="C557" s="24" t="s">
        <v>731</v>
      </c>
      <c r="D557" s="24" t="s">
        <v>214</v>
      </c>
      <c r="E557" s="24"/>
      <c r="F557" s="42">
        <f>F558</f>
        <v>700</v>
      </c>
    </row>
    <row r="558" spans="1:6" s="39" customFormat="1" ht="15" x14ac:dyDescent="0.2">
      <c r="A558" s="84" t="s">
        <v>473</v>
      </c>
      <c r="B558" s="30" t="s">
        <v>70</v>
      </c>
      <c r="C558" s="30" t="s">
        <v>731</v>
      </c>
      <c r="D558" s="30" t="s">
        <v>214</v>
      </c>
      <c r="E558" s="30" t="s">
        <v>226</v>
      </c>
      <c r="F558" s="41">
        <f>F559</f>
        <v>700</v>
      </c>
    </row>
    <row r="559" spans="1:6" s="39" customFormat="1" ht="24" x14ac:dyDescent="0.2">
      <c r="A559" s="84" t="s">
        <v>227</v>
      </c>
      <c r="B559" s="30" t="s">
        <v>70</v>
      </c>
      <c r="C559" s="30" t="s">
        <v>731</v>
      </c>
      <c r="D559" s="30" t="s">
        <v>214</v>
      </c>
      <c r="E559" s="30" t="s">
        <v>228</v>
      </c>
      <c r="F559" s="41">
        <f>200+500</f>
        <v>700</v>
      </c>
    </row>
    <row r="560" spans="1:6" s="39" customFormat="1" ht="15" x14ac:dyDescent="0.2">
      <c r="A560" s="75" t="s">
        <v>415</v>
      </c>
      <c r="B560" s="104" t="s">
        <v>71</v>
      </c>
      <c r="C560" s="24"/>
      <c r="D560" s="24"/>
      <c r="E560" s="24"/>
      <c r="F560" s="42">
        <f>F561</f>
        <v>7500</v>
      </c>
    </row>
    <row r="561" spans="1:6" s="39" customFormat="1" ht="15" x14ac:dyDescent="0.2">
      <c r="A561" s="61" t="s">
        <v>667</v>
      </c>
      <c r="B561" s="24" t="s">
        <v>71</v>
      </c>
      <c r="C561" s="24" t="s">
        <v>731</v>
      </c>
      <c r="D561" s="24"/>
      <c r="E561" s="24"/>
      <c r="F561" s="42">
        <f>F562</f>
        <v>7500</v>
      </c>
    </row>
    <row r="562" spans="1:6" s="39" customFormat="1" ht="15" x14ac:dyDescent="0.2">
      <c r="A562" s="61" t="s">
        <v>668</v>
      </c>
      <c r="B562" s="24" t="s">
        <v>71</v>
      </c>
      <c r="C562" s="24" t="s">
        <v>731</v>
      </c>
      <c r="D562" s="24" t="s">
        <v>214</v>
      </c>
      <c r="E562" s="24"/>
      <c r="F562" s="42">
        <f>F563</f>
        <v>7500</v>
      </c>
    </row>
    <row r="563" spans="1:6" s="39" customFormat="1" ht="15" x14ac:dyDescent="0.2">
      <c r="A563" s="84" t="s">
        <v>473</v>
      </c>
      <c r="B563" s="30" t="s">
        <v>71</v>
      </c>
      <c r="C563" s="30" t="s">
        <v>731</v>
      </c>
      <c r="D563" s="30" t="s">
        <v>214</v>
      </c>
      <c r="E563" s="30" t="s">
        <v>226</v>
      </c>
      <c r="F563" s="41">
        <f>F564</f>
        <v>7500</v>
      </c>
    </row>
    <row r="564" spans="1:6" s="39" customFormat="1" ht="24" x14ac:dyDescent="0.2">
      <c r="A564" s="84" t="s">
        <v>227</v>
      </c>
      <c r="B564" s="30" t="s">
        <v>71</v>
      </c>
      <c r="C564" s="30" t="s">
        <v>731</v>
      </c>
      <c r="D564" s="30" t="s">
        <v>214</v>
      </c>
      <c r="E564" s="30" t="s">
        <v>228</v>
      </c>
      <c r="F564" s="41">
        <f>1000+6500</f>
        <v>7500</v>
      </c>
    </row>
    <row r="565" spans="1:6" s="39" customFormat="1" ht="24" x14ac:dyDescent="0.2">
      <c r="A565" s="80" t="s">
        <v>309</v>
      </c>
      <c r="B565" s="24" t="s">
        <v>75</v>
      </c>
      <c r="C565" s="24"/>
      <c r="D565" s="24"/>
      <c r="E565" s="24"/>
      <c r="F565" s="42">
        <f>F566</f>
        <v>500</v>
      </c>
    </row>
    <row r="566" spans="1:6" s="39" customFormat="1" ht="15" x14ac:dyDescent="0.2">
      <c r="A566" s="61" t="s">
        <v>667</v>
      </c>
      <c r="B566" s="24" t="s">
        <v>75</v>
      </c>
      <c r="C566" s="24" t="s">
        <v>731</v>
      </c>
      <c r="D566" s="30"/>
      <c r="E566" s="30"/>
      <c r="F566" s="42">
        <f>F567</f>
        <v>500</v>
      </c>
    </row>
    <row r="567" spans="1:6" s="39" customFormat="1" ht="15" x14ac:dyDescent="0.2">
      <c r="A567" s="61" t="s">
        <v>669</v>
      </c>
      <c r="B567" s="24" t="s">
        <v>75</v>
      </c>
      <c r="C567" s="24" t="s">
        <v>731</v>
      </c>
      <c r="D567" s="24" t="s">
        <v>825</v>
      </c>
      <c r="E567" s="30"/>
      <c r="F567" s="42">
        <f>F568</f>
        <v>500</v>
      </c>
    </row>
    <row r="568" spans="1:6" s="39" customFormat="1" ht="15" x14ac:dyDescent="0.2">
      <c r="A568" s="84" t="s">
        <v>473</v>
      </c>
      <c r="B568" s="30" t="s">
        <v>75</v>
      </c>
      <c r="C568" s="30" t="s">
        <v>731</v>
      </c>
      <c r="D568" s="30" t="s">
        <v>825</v>
      </c>
      <c r="E568" s="30" t="s">
        <v>226</v>
      </c>
      <c r="F568" s="41">
        <f>F569</f>
        <v>500</v>
      </c>
    </row>
    <row r="569" spans="1:6" s="39" customFormat="1" ht="24" x14ac:dyDescent="0.2">
      <c r="A569" s="84" t="s">
        <v>227</v>
      </c>
      <c r="B569" s="30" t="s">
        <v>75</v>
      </c>
      <c r="C569" s="30" t="s">
        <v>731</v>
      </c>
      <c r="D569" s="30" t="s">
        <v>825</v>
      </c>
      <c r="E569" s="30" t="s">
        <v>228</v>
      </c>
      <c r="F569" s="41">
        <f>1000-500</f>
        <v>500</v>
      </c>
    </row>
    <row r="570" spans="1:6" s="39" customFormat="1" ht="24" customHeight="1" x14ac:dyDescent="0.2">
      <c r="A570" s="80" t="s">
        <v>754</v>
      </c>
      <c r="B570" s="24" t="s">
        <v>276</v>
      </c>
      <c r="C570" s="24"/>
      <c r="D570" s="24"/>
      <c r="E570" s="24"/>
      <c r="F570" s="42">
        <f>F571+F578+F583+F588+F598+F603+F608</f>
        <v>202462.2464</v>
      </c>
    </row>
    <row r="571" spans="1:6" s="39" customFormat="1" ht="24" x14ac:dyDescent="0.2">
      <c r="A571" s="80" t="s">
        <v>198</v>
      </c>
      <c r="B571" s="24" t="s">
        <v>79</v>
      </c>
      <c r="C571" s="24"/>
      <c r="D571" s="24"/>
      <c r="E571" s="30"/>
      <c r="F571" s="42">
        <f>F572</f>
        <v>23782.2464</v>
      </c>
    </row>
    <row r="572" spans="1:6" s="39" customFormat="1" ht="15" x14ac:dyDescent="0.2">
      <c r="A572" s="61" t="s">
        <v>667</v>
      </c>
      <c r="B572" s="24" t="s">
        <v>79</v>
      </c>
      <c r="C572" s="24" t="s">
        <v>731</v>
      </c>
      <c r="D572" s="24"/>
      <c r="E572" s="24"/>
      <c r="F572" s="42">
        <f>F573</f>
        <v>23782.2464</v>
      </c>
    </row>
    <row r="573" spans="1:6" s="39" customFormat="1" ht="15" x14ac:dyDescent="0.2">
      <c r="A573" s="61" t="s">
        <v>671</v>
      </c>
      <c r="B573" s="24" t="s">
        <v>79</v>
      </c>
      <c r="C573" s="24" t="s">
        <v>731</v>
      </c>
      <c r="D573" s="24" t="s">
        <v>817</v>
      </c>
      <c r="E573" s="24"/>
      <c r="F573" s="42">
        <f>F576+F574</f>
        <v>23782.2464</v>
      </c>
    </row>
    <row r="574" spans="1:6" s="39" customFormat="1" ht="15" x14ac:dyDescent="0.2">
      <c r="A574" s="84" t="s">
        <v>473</v>
      </c>
      <c r="B574" s="30" t="s">
        <v>79</v>
      </c>
      <c r="C574" s="30" t="s">
        <v>731</v>
      </c>
      <c r="D574" s="30" t="s">
        <v>817</v>
      </c>
      <c r="E574" s="30" t="s">
        <v>226</v>
      </c>
      <c r="F574" s="41">
        <f>F575</f>
        <v>319.63299999999998</v>
      </c>
    </row>
    <row r="575" spans="1:6" s="39" customFormat="1" ht="24" x14ac:dyDescent="0.2">
      <c r="A575" s="84" t="s">
        <v>227</v>
      </c>
      <c r="B575" s="30" t="s">
        <v>79</v>
      </c>
      <c r="C575" s="30" t="s">
        <v>731</v>
      </c>
      <c r="D575" s="30" t="s">
        <v>817</v>
      </c>
      <c r="E575" s="30" t="s">
        <v>228</v>
      </c>
      <c r="F575" s="41">
        <v>319.63299999999998</v>
      </c>
    </row>
    <row r="576" spans="1:6" s="39" customFormat="1" ht="24" x14ac:dyDescent="0.2">
      <c r="A576" s="84" t="s">
        <v>246</v>
      </c>
      <c r="B576" s="30" t="s">
        <v>79</v>
      </c>
      <c r="C576" s="30" t="s">
        <v>731</v>
      </c>
      <c r="D576" s="30" t="s">
        <v>817</v>
      </c>
      <c r="E576" s="30" t="s">
        <v>702</v>
      </c>
      <c r="F576" s="41">
        <f>F577</f>
        <v>23462.613399999998</v>
      </c>
    </row>
    <row r="577" spans="1:6" s="39" customFormat="1" ht="15" x14ac:dyDescent="0.2">
      <c r="A577" s="84" t="s">
        <v>247</v>
      </c>
      <c r="B577" s="30" t="s">
        <v>79</v>
      </c>
      <c r="C577" s="30" t="s">
        <v>731</v>
      </c>
      <c r="D577" s="30" t="s">
        <v>817</v>
      </c>
      <c r="E577" s="30" t="s">
        <v>724</v>
      </c>
      <c r="F577" s="41">
        <f>21500+2282.2464-319.633</f>
        <v>23462.613399999998</v>
      </c>
    </row>
    <row r="578" spans="1:6" s="39" customFormat="1" ht="15" x14ac:dyDescent="0.2">
      <c r="A578" s="80" t="s">
        <v>417</v>
      </c>
      <c r="B578" s="24" t="s">
        <v>80</v>
      </c>
      <c r="C578" s="24"/>
      <c r="D578" s="24"/>
      <c r="E578" s="24"/>
      <c r="F578" s="42">
        <f>F579</f>
        <v>80000</v>
      </c>
    </row>
    <row r="579" spans="1:6" s="39" customFormat="1" ht="15" x14ac:dyDescent="0.2">
      <c r="A579" s="61" t="s">
        <v>667</v>
      </c>
      <c r="B579" s="24" t="s">
        <v>80</v>
      </c>
      <c r="C579" s="24" t="s">
        <v>731</v>
      </c>
      <c r="D579" s="24"/>
      <c r="E579" s="24"/>
      <c r="F579" s="42">
        <f>F580</f>
        <v>80000</v>
      </c>
    </row>
    <row r="580" spans="1:6" s="39" customFormat="1" ht="15" x14ac:dyDescent="0.2">
      <c r="A580" s="61" t="s">
        <v>671</v>
      </c>
      <c r="B580" s="24" t="s">
        <v>80</v>
      </c>
      <c r="C580" s="24" t="s">
        <v>731</v>
      </c>
      <c r="D580" s="24" t="s">
        <v>817</v>
      </c>
      <c r="E580" s="24"/>
      <c r="F580" s="42">
        <f>F581</f>
        <v>80000</v>
      </c>
    </row>
    <row r="581" spans="1:6" s="39" customFormat="1" ht="15" x14ac:dyDescent="0.2">
      <c r="A581" s="84" t="s">
        <v>473</v>
      </c>
      <c r="B581" s="30" t="s">
        <v>80</v>
      </c>
      <c r="C581" s="30" t="s">
        <v>731</v>
      </c>
      <c r="D581" s="30" t="s">
        <v>817</v>
      </c>
      <c r="E581" s="30" t="s">
        <v>226</v>
      </c>
      <c r="F581" s="41">
        <f>F582</f>
        <v>80000</v>
      </c>
    </row>
    <row r="582" spans="1:6" s="39" customFormat="1" ht="24" x14ac:dyDescent="0.2">
      <c r="A582" s="84" t="s">
        <v>227</v>
      </c>
      <c r="B582" s="30" t="s">
        <v>80</v>
      </c>
      <c r="C582" s="30" t="s">
        <v>731</v>
      </c>
      <c r="D582" s="30" t="s">
        <v>817</v>
      </c>
      <c r="E582" s="30" t="s">
        <v>228</v>
      </c>
      <c r="F582" s="41">
        <f>70000+10000</f>
        <v>80000</v>
      </c>
    </row>
    <row r="583" spans="1:6" s="39" customFormat="1" ht="36" x14ac:dyDescent="0.2">
      <c r="A583" s="61" t="s">
        <v>612</v>
      </c>
      <c r="B583" s="24" t="s">
        <v>81</v>
      </c>
      <c r="C583" s="24"/>
      <c r="D583" s="24"/>
      <c r="E583" s="24"/>
      <c r="F583" s="117">
        <f>F584</f>
        <v>34000</v>
      </c>
    </row>
    <row r="584" spans="1:6" s="39" customFormat="1" ht="15" x14ac:dyDescent="0.2">
      <c r="A584" s="61" t="s">
        <v>667</v>
      </c>
      <c r="B584" s="24" t="s">
        <v>81</v>
      </c>
      <c r="C584" s="24" t="s">
        <v>731</v>
      </c>
      <c r="D584" s="24"/>
      <c r="E584" s="24"/>
      <c r="F584" s="42">
        <f>F585</f>
        <v>34000</v>
      </c>
    </row>
    <row r="585" spans="1:6" s="39" customFormat="1" ht="15" x14ac:dyDescent="0.2">
      <c r="A585" s="61" t="s">
        <v>671</v>
      </c>
      <c r="B585" s="24" t="s">
        <v>81</v>
      </c>
      <c r="C585" s="24" t="s">
        <v>731</v>
      </c>
      <c r="D585" s="24" t="s">
        <v>817</v>
      </c>
      <c r="E585" s="24"/>
      <c r="F585" s="42">
        <f>F586</f>
        <v>34000</v>
      </c>
    </row>
    <row r="586" spans="1:6" s="39" customFormat="1" ht="15" x14ac:dyDescent="0.2">
      <c r="A586" s="84" t="s">
        <v>229</v>
      </c>
      <c r="B586" s="30" t="s">
        <v>81</v>
      </c>
      <c r="C586" s="30" t="s">
        <v>731</v>
      </c>
      <c r="D586" s="30" t="s">
        <v>817</v>
      </c>
      <c r="E586" s="30" t="s">
        <v>230</v>
      </c>
      <c r="F586" s="118">
        <f>F587</f>
        <v>34000</v>
      </c>
    </row>
    <row r="587" spans="1:6" s="39" customFormat="1" ht="24" x14ac:dyDescent="0.2">
      <c r="A587" s="84" t="s">
        <v>105</v>
      </c>
      <c r="B587" s="30" t="s">
        <v>81</v>
      </c>
      <c r="C587" s="30" t="s">
        <v>731</v>
      </c>
      <c r="D587" s="30" t="s">
        <v>817</v>
      </c>
      <c r="E587" s="30" t="s">
        <v>729</v>
      </c>
      <c r="F587" s="118">
        <v>34000</v>
      </c>
    </row>
    <row r="588" spans="1:6" s="39" customFormat="1" ht="24" x14ac:dyDescent="0.2">
      <c r="A588" s="75" t="s">
        <v>199</v>
      </c>
      <c r="B588" s="43" t="s">
        <v>84</v>
      </c>
      <c r="C588" s="24"/>
      <c r="D588" s="24"/>
      <c r="E588" s="24"/>
      <c r="F588" s="42">
        <f>F589</f>
        <v>6270</v>
      </c>
    </row>
    <row r="589" spans="1:6" s="39" customFormat="1" ht="15" x14ac:dyDescent="0.2">
      <c r="A589" s="61" t="s">
        <v>667</v>
      </c>
      <c r="B589" s="43" t="s">
        <v>84</v>
      </c>
      <c r="C589" s="24" t="s">
        <v>731</v>
      </c>
      <c r="D589" s="24"/>
      <c r="E589" s="24"/>
      <c r="F589" s="42">
        <f>F590</f>
        <v>6270</v>
      </c>
    </row>
    <row r="590" spans="1:6" s="39" customFormat="1" ht="15" x14ac:dyDescent="0.2">
      <c r="A590" s="61" t="s">
        <v>672</v>
      </c>
      <c r="B590" s="43" t="s">
        <v>84</v>
      </c>
      <c r="C590" s="24" t="s">
        <v>731</v>
      </c>
      <c r="D590" s="24" t="s">
        <v>731</v>
      </c>
      <c r="E590" s="24"/>
      <c r="F590" s="42">
        <f>F591</f>
        <v>6270</v>
      </c>
    </row>
    <row r="591" spans="1:6" s="39" customFormat="1" ht="15" x14ac:dyDescent="0.2">
      <c r="A591" s="85" t="s">
        <v>819</v>
      </c>
      <c r="B591" s="33" t="s">
        <v>84</v>
      </c>
      <c r="C591" s="33" t="s">
        <v>731</v>
      </c>
      <c r="D591" s="33" t="s">
        <v>731</v>
      </c>
      <c r="E591" s="33"/>
      <c r="F591" s="101">
        <f>F592+F594+F596</f>
        <v>6270</v>
      </c>
    </row>
    <row r="592" spans="1:6" s="39" customFormat="1" ht="36" x14ac:dyDescent="0.2">
      <c r="A592" s="84" t="s">
        <v>217</v>
      </c>
      <c r="B592" s="30" t="s">
        <v>84</v>
      </c>
      <c r="C592" s="30" t="s">
        <v>731</v>
      </c>
      <c r="D592" s="30" t="s">
        <v>731</v>
      </c>
      <c r="E592" s="30" t="s">
        <v>218</v>
      </c>
      <c r="F592" s="41">
        <f>F593</f>
        <v>4550</v>
      </c>
    </row>
    <row r="593" spans="1:6" s="39" customFormat="1" ht="15" x14ac:dyDescent="0.2">
      <c r="A593" s="84" t="s">
        <v>820</v>
      </c>
      <c r="B593" s="30" t="s">
        <v>84</v>
      </c>
      <c r="C593" s="30" t="s">
        <v>731</v>
      </c>
      <c r="D593" s="30" t="s">
        <v>731</v>
      </c>
      <c r="E593" s="30" t="s">
        <v>821</v>
      </c>
      <c r="F593" s="41">
        <f>2500+750+1000+300</f>
        <v>4550</v>
      </c>
    </row>
    <row r="594" spans="1:6" s="39" customFormat="1" ht="15" x14ac:dyDescent="0.2">
      <c r="A594" s="84" t="s">
        <v>473</v>
      </c>
      <c r="B594" s="30" t="s">
        <v>84</v>
      </c>
      <c r="C594" s="30" t="s">
        <v>731</v>
      </c>
      <c r="D594" s="30" t="s">
        <v>731</v>
      </c>
      <c r="E594" s="30" t="s">
        <v>226</v>
      </c>
      <c r="F594" s="41">
        <f>F595</f>
        <v>1299</v>
      </c>
    </row>
    <row r="595" spans="1:6" s="39" customFormat="1" ht="24" x14ac:dyDescent="0.2">
      <c r="A595" s="84" t="s">
        <v>227</v>
      </c>
      <c r="B595" s="30" t="s">
        <v>84</v>
      </c>
      <c r="C595" s="30" t="s">
        <v>731</v>
      </c>
      <c r="D595" s="30" t="s">
        <v>731</v>
      </c>
      <c r="E595" s="30" t="s">
        <v>228</v>
      </c>
      <c r="F595" s="41">
        <v>1299</v>
      </c>
    </row>
    <row r="596" spans="1:6" s="39" customFormat="1" ht="15" x14ac:dyDescent="0.2">
      <c r="A596" s="84" t="s">
        <v>229</v>
      </c>
      <c r="B596" s="30" t="s">
        <v>84</v>
      </c>
      <c r="C596" s="30" t="s">
        <v>731</v>
      </c>
      <c r="D596" s="30" t="s">
        <v>731</v>
      </c>
      <c r="E596" s="30" t="s">
        <v>230</v>
      </c>
      <c r="F596" s="41">
        <f>F597</f>
        <v>421</v>
      </c>
    </row>
    <row r="597" spans="1:6" s="39" customFormat="1" ht="15" x14ac:dyDescent="0.2">
      <c r="A597" s="84" t="s">
        <v>106</v>
      </c>
      <c r="B597" s="30" t="s">
        <v>84</v>
      </c>
      <c r="C597" s="30" t="s">
        <v>731</v>
      </c>
      <c r="D597" s="30" t="s">
        <v>731</v>
      </c>
      <c r="E597" s="30" t="s">
        <v>231</v>
      </c>
      <c r="F597" s="41">
        <f>412+9</f>
        <v>421</v>
      </c>
    </row>
    <row r="598" spans="1:6" s="39" customFormat="1" ht="24" x14ac:dyDescent="0.2">
      <c r="A598" s="80" t="s">
        <v>319</v>
      </c>
      <c r="B598" s="24" t="s">
        <v>72</v>
      </c>
      <c r="C598" s="24"/>
      <c r="D598" s="24"/>
      <c r="E598" s="24"/>
      <c r="F598" s="117">
        <f>F599</f>
        <v>5010</v>
      </c>
    </row>
    <row r="599" spans="1:6" s="39" customFormat="1" ht="15" x14ac:dyDescent="0.2">
      <c r="A599" s="61" t="s">
        <v>667</v>
      </c>
      <c r="B599" s="24" t="s">
        <v>72</v>
      </c>
      <c r="C599" s="24" t="s">
        <v>731</v>
      </c>
      <c r="D599" s="24"/>
      <c r="E599" s="24"/>
      <c r="F599" s="42">
        <f>F600</f>
        <v>5010</v>
      </c>
    </row>
    <row r="600" spans="1:6" s="39" customFormat="1" ht="15" x14ac:dyDescent="0.2">
      <c r="A600" s="61" t="s">
        <v>668</v>
      </c>
      <c r="B600" s="24" t="s">
        <v>72</v>
      </c>
      <c r="C600" s="24" t="s">
        <v>731</v>
      </c>
      <c r="D600" s="24" t="s">
        <v>214</v>
      </c>
      <c r="E600" s="24"/>
      <c r="F600" s="42">
        <f>F601</f>
        <v>5010</v>
      </c>
    </row>
    <row r="601" spans="1:6" s="39" customFormat="1" ht="15" x14ac:dyDescent="0.2">
      <c r="A601" s="84" t="s">
        <v>473</v>
      </c>
      <c r="B601" s="30" t="s">
        <v>72</v>
      </c>
      <c r="C601" s="30" t="s">
        <v>731</v>
      </c>
      <c r="D601" s="30" t="s">
        <v>214</v>
      </c>
      <c r="E601" s="30" t="s">
        <v>226</v>
      </c>
      <c r="F601" s="118">
        <f>F602</f>
        <v>5010</v>
      </c>
    </row>
    <row r="602" spans="1:6" s="39" customFormat="1" ht="24" x14ac:dyDescent="0.2">
      <c r="A602" s="84" t="s">
        <v>227</v>
      </c>
      <c r="B602" s="30" t="s">
        <v>72</v>
      </c>
      <c r="C602" s="30" t="s">
        <v>731</v>
      </c>
      <c r="D602" s="30" t="s">
        <v>214</v>
      </c>
      <c r="E602" s="30" t="s">
        <v>228</v>
      </c>
      <c r="F602" s="118">
        <f>2510+2500</f>
        <v>5010</v>
      </c>
    </row>
    <row r="603" spans="1:6" s="39" customFormat="1" ht="24" x14ac:dyDescent="0.2">
      <c r="A603" s="80" t="s">
        <v>757</v>
      </c>
      <c r="B603" s="24" t="s">
        <v>73</v>
      </c>
      <c r="C603" s="24"/>
      <c r="D603" s="24"/>
      <c r="E603" s="24"/>
      <c r="F603" s="42">
        <f>F604</f>
        <v>38995</v>
      </c>
    </row>
    <row r="604" spans="1:6" s="39" customFormat="1" ht="15" x14ac:dyDescent="0.2">
      <c r="A604" s="61" t="s">
        <v>667</v>
      </c>
      <c r="B604" s="24" t="s">
        <v>73</v>
      </c>
      <c r="C604" s="24" t="s">
        <v>731</v>
      </c>
      <c r="D604" s="24"/>
      <c r="E604" s="24"/>
      <c r="F604" s="42">
        <f>F605</f>
        <v>38995</v>
      </c>
    </row>
    <row r="605" spans="1:6" s="39" customFormat="1" ht="15" x14ac:dyDescent="0.2">
      <c r="A605" s="61" t="s">
        <v>668</v>
      </c>
      <c r="B605" s="24" t="s">
        <v>73</v>
      </c>
      <c r="C605" s="24" t="s">
        <v>731</v>
      </c>
      <c r="D605" s="24" t="s">
        <v>214</v>
      </c>
      <c r="E605" s="24"/>
      <c r="F605" s="42">
        <f>F606</f>
        <v>38995</v>
      </c>
    </row>
    <row r="606" spans="1:6" s="39" customFormat="1" ht="24" x14ac:dyDescent="0.2">
      <c r="A606" s="84" t="s">
        <v>246</v>
      </c>
      <c r="B606" s="30" t="s">
        <v>73</v>
      </c>
      <c r="C606" s="30" t="s">
        <v>731</v>
      </c>
      <c r="D606" s="30" t="s">
        <v>214</v>
      </c>
      <c r="E606" s="30" t="s">
        <v>702</v>
      </c>
      <c r="F606" s="41">
        <f>F607</f>
        <v>38995</v>
      </c>
    </row>
    <row r="607" spans="1:6" s="39" customFormat="1" ht="24" x14ac:dyDescent="0.2">
      <c r="A607" s="84" t="s">
        <v>290</v>
      </c>
      <c r="B607" s="30" t="s">
        <v>73</v>
      </c>
      <c r="C607" s="30" t="s">
        <v>731</v>
      </c>
      <c r="D607" s="30" t="s">
        <v>214</v>
      </c>
      <c r="E607" s="30" t="s">
        <v>794</v>
      </c>
      <c r="F607" s="41">
        <f>10495+30000-1500</f>
        <v>38995</v>
      </c>
    </row>
    <row r="608" spans="1:6" s="39" customFormat="1" ht="24" x14ac:dyDescent="0.2">
      <c r="A608" s="80" t="s">
        <v>419</v>
      </c>
      <c r="B608" s="24" t="s">
        <v>276</v>
      </c>
      <c r="C608" s="24"/>
      <c r="D608" s="24"/>
      <c r="E608" s="30"/>
      <c r="F608" s="42">
        <f>F609</f>
        <v>14405</v>
      </c>
    </row>
    <row r="609" spans="1:6" s="39" customFormat="1" ht="24" x14ac:dyDescent="0.2">
      <c r="A609" s="83" t="s">
        <v>704</v>
      </c>
      <c r="B609" s="25" t="s">
        <v>276</v>
      </c>
      <c r="C609" s="25"/>
      <c r="D609" s="25"/>
      <c r="E609" s="25"/>
      <c r="F609" s="45">
        <f>F610+F615</f>
        <v>14405</v>
      </c>
    </row>
    <row r="610" spans="1:6" s="39" customFormat="1" ht="15" x14ac:dyDescent="0.2">
      <c r="A610" s="61" t="s">
        <v>667</v>
      </c>
      <c r="B610" s="24" t="s">
        <v>82</v>
      </c>
      <c r="C610" s="24" t="s">
        <v>731</v>
      </c>
      <c r="D610" s="24"/>
      <c r="E610" s="25"/>
      <c r="F610" s="42">
        <f>F611</f>
        <v>12863</v>
      </c>
    </row>
    <row r="611" spans="1:6" s="39" customFormat="1" ht="15" x14ac:dyDescent="0.2">
      <c r="A611" s="61" t="s">
        <v>672</v>
      </c>
      <c r="B611" s="24" t="s">
        <v>82</v>
      </c>
      <c r="C611" s="24" t="s">
        <v>731</v>
      </c>
      <c r="D611" s="24" t="s">
        <v>731</v>
      </c>
      <c r="E611" s="25"/>
      <c r="F611" s="42">
        <f>F612</f>
        <v>12863</v>
      </c>
    </row>
    <row r="612" spans="1:6" s="39" customFormat="1" ht="15" x14ac:dyDescent="0.2">
      <c r="A612" s="82" t="s">
        <v>685</v>
      </c>
      <c r="B612" s="24" t="s">
        <v>82</v>
      </c>
      <c r="C612" s="24" t="s">
        <v>731</v>
      </c>
      <c r="D612" s="24" t="s">
        <v>731</v>
      </c>
      <c r="E612" s="24"/>
      <c r="F612" s="42">
        <f>F613</f>
        <v>12863</v>
      </c>
    </row>
    <row r="613" spans="1:6" s="39" customFormat="1" ht="36" x14ac:dyDescent="0.2">
      <c r="A613" s="84" t="s">
        <v>217</v>
      </c>
      <c r="B613" s="30" t="s">
        <v>82</v>
      </c>
      <c r="C613" s="30" t="s">
        <v>731</v>
      </c>
      <c r="D613" s="30" t="s">
        <v>731</v>
      </c>
      <c r="E613" s="30" t="s">
        <v>218</v>
      </c>
      <c r="F613" s="41">
        <f>F614</f>
        <v>12863</v>
      </c>
    </row>
    <row r="614" spans="1:6" s="39" customFormat="1" ht="15" x14ac:dyDescent="0.2">
      <c r="A614" s="84" t="s">
        <v>219</v>
      </c>
      <c r="B614" s="30" t="s">
        <v>82</v>
      </c>
      <c r="C614" s="30" t="s">
        <v>731</v>
      </c>
      <c r="D614" s="30" t="s">
        <v>731</v>
      </c>
      <c r="E614" s="30" t="s">
        <v>224</v>
      </c>
      <c r="F614" s="41">
        <f>8600+2698+1565</f>
        <v>12863</v>
      </c>
    </row>
    <row r="615" spans="1:6" s="39" customFormat="1" ht="15" x14ac:dyDescent="0.2">
      <c r="A615" s="80" t="s">
        <v>225</v>
      </c>
      <c r="B615" s="24" t="s">
        <v>83</v>
      </c>
      <c r="C615" s="24"/>
      <c r="D615" s="24"/>
      <c r="E615" s="24"/>
      <c r="F615" s="42">
        <f>F616</f>
        <v>1542</v>
      </c>
    </row>
    <row r="616" spans="1:6" s="39" customFormat="1" ht="15" x14ac:dyDescent="0.2">
      <c r="A616" s="61" t="s">
        <v>667</v>
      </c>
      <c r="B616" s="24" t="s">
        <v>83</v>
      </c>
      <c r="C616" s="24" t="s">
        <v>731</v>
      </c>
      <c r="D616" s="24"/>
      <c r="E616" s="24"/>
      <c r="F616" s="42">
        <f>F617</f>
        <v>1542</v>
      </c>
    </row>
    <row r="617" spans="1:6" s="39" customFormat="1" ht="15" x14ac:dyDescent="0.2">
      <c r="A617" s="61" t="s">
        <v>672</v>
      </c>
      <c r="B617" s="24" t="s">
        <v>83</v>
      </c>
      <c r="C617" s="24" t="s">
        <v>731</v>
      </c>
      <c r="D617" s="24" t="s">
        <v>731</v>
      </c>
      <c r="E617" s="24"/>
      <c r="F617" s="42">
        <f>F618+F620</f>
        <v>1542</v>
      </c>
    </row>
    <row r="618" spans="1:6" s="39" customFormat="1" ht="15" x14ac:dyDescent="0.2">
      <c r="A618" s="84" t="s">
        <v>473</v>
      </c>
      <c r="B618" s="30" t="s">
        <v>83</v>
      </c>
      <c r="C618" s="30" t="s">
        <v>731</v>
      </c>
      <c r="D618" s="30" t="s">
        <v>731</v>
      </c>
      <c r="E618" s="30" t="s">
        <v>226</v>
      </c>
      <c r="F618" s="41">
        <f>F619</f>
        <v>1322</v>
      </c>
    </row>
    <row r="619" spans="1:6" s="39" customFormat="1" ht="24" x14ac:dyDescent="0.2">
      <c r="A619" s="84" t="s">
        <v>227</v>
      </c>
      <c r="B619" s="30" t="s">
        <v>83</v>
      </c>
      <c r="C619" s="30" t="s">
        <v>731</v>
      </c>
      <c r="D619" s="30" t="s">
        <v>731</v>
      </c>
      <c r="E619" s="30" t="s">
        <v>228</v>
      </c>
      <c r="F619" s="41">
        <v>1322</v>
      </c>
    </row>
    <row r="620" spans="1:6" s="39" customFormat="1" ht="15" x14ac:dyDescent="0.2">
      <c r="A620" s="84" t="s">
        <v>229</v>
      </c>
      <c r="B620" s="30" t="s">
        <v>83</v>
      </c>
      <c r="C620" s="30" t="s">
        <v>731</v>
      </c>
      <c r="D620" s="30" t="s">
        <v>731</v>
      </c>
      <c r="E620" s="30" t="s">
        <v>230</v>
      </c>
      <c r="F620" s="41">
        <f>F621</f>
        <v>220</v>
      </c>
    </row>
    <row r="621" spans="1:6" s="39" customFormat="1" ht="15" x14ac:dyDescent="0.2">
      <c r="A621" s="84" t="s">
        <v>106</v>
      </c>
      <c r="B621" s="30" t="s">
        <v>83</v>
      </c>
      <c r="C621" s="30" t="s">
        <v>731</v>
      </c>
      <c r="D621" s="30" t="s">
        <v>731</v>
      </c>
      <c r="E621" s="30" t="s">
        <v>231</v>
      </c>
      <c r="F621" s="41">
        <f>30+190</f>
        <v>220</v>
      </c>
    </row>
    <row r="622" spans="1:6" s="39" customFormat="1" ht="27" x14ac:dyDescent="0.2">
      <c r="A622" s="152" t="s">
        <v>549</v>
      </c>
      <c r="B622" s="154" t="s">
        <v>444</v>
      </c>
      <c r="C622" s="154"/>
      <c r="D622" s="154"/>
      <c r="E622" s="154"/>
      <c r="F622" s="156">
        <f>F623+F628+F633+F638+F643+F653+F665+F670+F675+F680+F685+F697+F702+F707+F712+F717+F722+F727+F732+F648+F737+F692+F747+F752+F658+F763+F757+F760+F742</f>
        <v>217565.64683000001</v>
      </c>
    </row>
    <row r="623" spans="1:6" s="39" customFormat="1" ht="24" x14ac:dyDescent="0.2">
      <c r="A623" s="80" t="s">
        <v>848</v>
      </c>
      <c r="B623" s="24" t="s">
        <v>849</v>
      </c>
      <c r="C623" s="24"/>
      <c r="D623" s="24"/>
      <c r="E623" s="24"/>
      <c r="F623" s="117">
        <f>F624</f>
        <v>1000</v>
      </c>
    </row>
    <row r="624" spans="1:6" s="39" customFormat="1" ht="15" x14ac:dyDescent="0.2">
      <c r="A624" s="61" t="s">
        <v>667</v>
      </c>
      <c r="B624" s="24" t="s">
        <v>849</v>
      </c>
      <c r="C624" s="24" t="s">
        <v>731</v>
      </c>
      <c r="D624" s="24"/>
      <c r="E624" s="24"/>
      <c r="F624" s="42">
        <f>F625</f>
        <v>1000</v>
      </c>
    </row>
    <row r="625" spans="1:6" s="39" customFormat="1" ht="15" x14ac:dyDescent="0.2">
      <c r="A625" s="61" t="s">
        <v>668</v>
      </c>
      <c r="B625" s="24" t="s">
        <v>849</v>
      </c>
      <c r="C625" s="24" t="s">
        <v>731</v>
      </c>
      <c r="D625" s="24" t="s">
        <v>214</v>
      </c>
      <c r="E625" s="24"/>
      <c r="F625" s="42">
        <f>F626</f>
        <v>1000</v>
      </c>
    </row>
    <row r="626" spans="1:6" s="39" customFormat="1" ht="15" x14ac:dyDescent="0.2">
      <c r="A626" s="84" t="s">
        <v>473</v>
      </c>
      <c r="B626" s="30" t="s">
        <v>849</v>
      </c>
      <c r="C626" s="30" t="s">
        <v>731</v>
      </c>
      <c r="D626" s="30" t="s">
        <v>214</v>
      </c>
      <c r="E626" s="30" t="s">
        <v>226</v>
      </c>
      <c r="F626" s="41">
        <f>F627</f>
        <v>1000</v>
      </c>
    </row>
    <row r="627" spans="1:6" s="39" customFormat="1" ht="24" x14ac:dyDescent="0.2">
      <c r="A627" s="84" t="s">
        <v>227</v>
      </c>
      <c r="B627" s="30" t="s">
        <v>849</v>
      </c>
      <c r="C627" s="30" t="s">
        <v>731</v>
      </c>
      <c r="D627" s="30" t="s">
        <v>214</v>
      </c>
      <c r="E627" s="30" t="s">
        <v>228</v>
      </c>
      <c r="F627" s="41">
        <v>1000</v>
      </c>
    </row>
    <row r="628" spans="1:6" s="39" customFormat="1" ht="15" x14ac:dyDescent="0.2">
      <c r="A628" s="75" t="s">
        <v>286</v>
      </c>
      <c r="B628" s="24" t="s">
        <v>846</v>
      </c>
      <c r="C628" s="24"/>
      <c r="D628" s="24"/>
      <c r="E628" s="24"/>
      <c r="F628" s="42">
        <f>F629</f>
        <v>100</v>
      </c>
    </row>
    <row r="629" spans="1:6" s="39" customFormat="1" ht="15" x14ac:dyDescent="0.2">
      <c r="A629" s="61" t="s">
        <v>655</v>
      </c>
      <c r="B629" s="24" t="s">
        <v>846</v>
      </c>
      <c r="C629" s="24" t="s">
        <v>216</v>
      </c>
      <c r="D629" s="24"/>
      <c r="E629" s="30"/>
      <c r="F629" s="42">
        <f>F630</f>
        <v>100</v>
      </c>
    </row>
    <row r="630" spans="1:6" s="39" customFormat="1" ht="15" x14ac:dyDescent="0.2">
      <c r="A630" s="61" t="s">
        <v>698</v>
      </c>
      <c r="B630" s="24" t="s">
        <v>846</v>
      </c>
      <c r="C630" s="24" t="s">
        <v>216</v>
      </c>
      <c r="D630" s="24" t="s">
        <v>823</v>
      </c>
      <c r="E630" s="30"/>
      <c r="F630" s="42">
        <f>F631</f>
        <v>100</v>
      </c>
    </row>
    <row r="631" spans="1:6" s="39" customFormat="1" ht="15" x14ac:dyDescent="0.2">
      <c r="A631" s="84" t="s">
        <v>473</v>
      </c>
      <c r="B631" s="30" t="s">
        <v>846</v>
      </c>
      <c r="C631" s="30" t="s">
        <v>216</v>
      </c>
      <c r="D631" s="30" t="s">
        <v>823</v>
      </c>
      <c r="E631" s="30" t="s">
        <v>226</v>
      </c>
      <c r="F631" s="41">
        <f>F632</f>
        <v>100</v>
      </c>
    </row>
    <row r="632" spans="1:6" s="39" customFormat="1" ht="24" x14ac:dyDescent="0.2">
      <c r="A632" s="84" t="s">
        <v>227</v>
      </c>
      <c r="B632" s="30" t="s">
        <v>846</v>
      </c>
      <c r="C632" s="30" t="s">
        <v>216</v>
      </c>
      <c r="D632" s="30" t="s">
        <v>823</v>
      </c>
      <c r="E632" s="30" t="s">
        <v>228</v>
      </c>
      <c r="F632" s="41">
        <v>100</v>
      </c>
    </row>
    <row r="633" spans="1:6" s="39" customFormat="1" ht="15" x14ac:dyDescent="0.2">
      <c r="A633" s="75" t="s">
        <v>286</v>
      </c>
      <c r="B633" s="24" t="s">
        <v>846</v>
      </c>
      <c r="C633" s="24"/>
      <c r="D633" s="24"/>
      <c r="E633" s="30"/>
      <c r="F633" s="117">
        <f>F634</f>
        <v>7600</v>
      </c>
    </row>
    <row r="634" spans="1:6" s="39" customFormat="1" ht="15" x14ac:dyDescent="0.2">
      <c r="A634" s="61" t="s">
        <v>667</v>
      </c>
      <c r="B634" s="24" t="s">
        <v>846</v>
      </c>
      <c r="C634" s="24" t="s">
        <v>731</v>
      </c>
      <c r="D634" s="24"/>
      <c r="E634" s="24"/>
      <c r="F634" s="42">
        <f>F635</f>
        <v>7600</v>
      </c>
    </row>
    <row r="635" spans="1:6" s="39" customFormat="1" ht="15" x14ac:dyDescent="0.2">
      <c r="A635" s="61" t="s">
        <v>668</v>
      </c>
      <c r="B635" s="24" t="s">
        <v>846</v>
      </c>
      <c r="C635" s="24" t="s">
        <v>731</v>
      </c>
      <c r="D635" s="24" t="s">
        <v>214</v>
      </c>
      <c r="E635" s="24"/>
      <c r="F635" s="42">
        <f>F636</f>
        <v>7600</v>
      </c>
    </row>
    <row r="636" spans="1:6" s="39" customFormat="1" ht="15" x14ac:dyDescent="0.2">
      <c r="A636" s="84" t="s">
        <v>394</v>
      </c>
      <c r="B636" s="30" t="s">
        <v>846</v>
      </c>
      <c r="C636" s="30" t="s">
        <v>731</v>
      </c>
      <c r="D636" s="30" t="s">
        <v>214</v>
      </c>
      <c r="E636" s="30" t="s">
        <v>733</v>
      </c>
      <c r="F636" s="118">
        <f>F637</f>
        <v>7600</v>
      </c>
    </row>
    <row r="637" spans="1:6" s="39" customFormat="1" ht="15" x14ac:dyDescent="0.2">
      <c r="A637" s="84" t="s">
        <v>734</v>
      </c>
      <c r="B637" s="30" t="s">
        <v>846</v>
      </c>
      <c r="C637" s="30" t="s">
        <v>731</v>
      </c>
      <c r="D637" s="30" t="s">
        <v>214</v>
      </c>
      <c r="E637" s="30" t="s">
        <v>735</v>
      </c>
      <c r="F637" s="118">
        <f>3500+700+2900+500</f>
        <v>7600</v>
      </c>
    </row>
    <row r="638" spans="1:6" s="39" customFormat="1" ht="15" x14ac:dyDescent="0.2">
      <c r="A638" s="75" t="s">
        <v>286</v>
      </c>
      <c r="B638" s="106" t="s">
        <v>846</v>
      </c>
      <c r="C638" s="24"/>
      <c r="D638" s="24"/>
      <c r="E638" s="24"/>
      <c r="F638" s="42">
        <f>F639</f>
        <v>600</v>
      </c>
    </row>
    <row r="639" spans="1:6" s="39" customFormat="1" ht="15" x14ac:dyDescent="0.2">
      <c r="A639" s="61" t="s">
        <v>667</v>
      </c>
      <c r="B639" s="24" t="s">
        <v>846</v>
      </c>
      <c r="C639" s="24" t="s">
        <v>731</v>
      </c>
      <c r="D639" s="30"/>
      <c r="E639" s="14"/>
      <c r="F639" s="42">
        <f>F640</f>
        <v>600</v>
      </c>
    </row>
    <row r="640" spans="1:6" s="39" customFormat="1" ht="15" x14ac:dyDescent="0.2">
      <c r="A640" s="61" t="s">
        <v>669</v>
      </c>
      <c r="B640" s="24" t="s">
        <v>846</v>
      </c>
      <c r="C640" s="24" t="s">
        <v>731</v>
      </c>
      <c r="D640" s="24" t="s">
        <v>825</v>
      </c>
      <c r="E640" s="14"/>
      <c r="F640" s="42">
        <f>F641</f>
        <v>600</v>
      </c>
    </row>
    <row r="641" spans="1:6" s="39" customFormat="1" ht="15" x14ac:dyDescent="0.2">
      <c r="A641" s="84" t="s">
        <v>394</v>
      </c>
      <c r="B641" s="30" t="s">
        <v>846</v>
      </c>
      <c r="C641" s="30" t="s">
        <v>731</v>
      </c>
      <c r="D641" s="30" t="s">
        <v>825</v>
      </c>
      <c r="E641" s="30" t="s">
        <v>733</v>
      </c>
      <c r="F641" s="41">
        <f>F642</f>
        <v>600</v>
      </c>
    </row>
    <row r="642" spans="1:6" s="39" customFormat="1" ht="15" x14ac:dyDescent="0.2">
      <c r="A642" s="84" t="s">
        <v>734</v>
      </c>
      <c r="B642" s="30" t="s">
        <v>846</v>
      </c>
      <c r="C642" s="30" t="s">
        <v>731</v>
      </c>
      <c r="D642" s="30" t="s">
        <v>825</v>
      </c>
      <c r="E642" s="30" t="s">
        <v>735</v>
      </c>
      <c r="F642" s="41">
        <f>100+500</f>
        <v>600</v>
      </c>
    </row>
    <row r="643" spans="1:6" s="39" customFormat="1" ht="15" x14ac:dyDescent="0.2">
      <c r="A643" s="75" t="s">
        <v>286</v>
      </c>
      <c r="B643" s="24" t="s">
        <v>846</v>
      </c>
      <c r="C643" s="24"/>
      <c r="D643" s="24"/>
      <c r="E643" s="24"/>
      <c r="F643" s="117">
        <f>F644</f>
        <v>100</v>
      </c>
    </row>
    <row r="644" spans="1:6" s="39" customFormat="1" ht="15" x14ac:dyDescent="0.2">
      <c r="A644" s="61" t="s">
        <v>667</v>
      </c>
      <c r="B644" s="24" t="s">
        <v>846</v>
      </c>
      <c r="C644" s="24" t="s">
        <v>731</v>
      </c>
      <c r="D644" s="24"/>
      <c r="E644" s="24"/>
      <c r="F644" s="117">
        <f>F645</f>
        <v>100</v>
      </c>
    </row>
    <row r="645" spans="1:6" s="39" customFormat="1" ht="15" x14ac:dyDescent="0.2">
      <c r="A645" s="61" t="s">
        <v>671</v>
      </c>
      <c r="B645" s="24" t="s">
        <v>846</v>
      </c>
      <c r="C645" s="24" t="s">
        <v>731</v>
      </c>
      <c r="D645" s="24" t="s">
        <v>817</v>
      </c>
      <c r="E645" s="24"/>
      <c r="F645" s="117">
        <f>F646</f>
        <v>100</v>
      </c>
    </row>
    <row r="646" spans="1:6" s="39" customFormat="1" ht="15" x14ac:dyDescent="0.2">
      <c r="A646" s="84" t="s">
        <v>473</v>
      </c>
      <c r="B646" s="30" t="s">
        <v>846</v>
      </c>
      <c r="C646" s="30" t="s">
        <v>731</v>
      </c>
      <c r="D646" s="30" t="s">
        <v>817</v>
      </c>
      <c r="E646" s="30" t="s">
        <v>226</v>
      </c>
      <c r="F646" s="118">
        <f>F647</f>
        <v>100</v>
      </c>
    </row>
    <row r="647" spans="1:6" s="39" customFormat="1" ht="24" x14ac:dyDescent="0.2">
      <c r="A647" s="84" t="s">
        <v>227</v>
      </c>
      <c r="B647" s="30" t="s">
        <v>846</v>
      </c>
      <c r="C647" s="30" t="s">
        <v>731</v>
      </c>
      <c r="D647" s="30" t="s">
        <v>817</v>
      </c>
      <c r="E647" s="30" t="s">
        <v>228</v>
      </c>
      <c r="F647" s="118">
        <v>100</v>
      </c>
    </row>
    <row r="648" spans="1:6" s="39" customFormat="1" ht="15" x14ac:dyDescent="0.2">
      <c r="A648" s="75" t="s">
        <v>286</v>
      </c>
      <c r="B648" s="106" t="s">
        <v>846</v>
      </c>
      <c r="C648" s="24"/>
      <c r="D648" s="24"/>
      <c r="E648" s="24"/>
      <c r="F648" s="117">
        <f>F649</f>
        <v>1800</v>
      </c>
    </row>
    <row r="649" spans="1:6" s="39" customFormat="1" ht="15" x14ac:dyDescent="0.2">
      <c r="A649" s="61" t="s">
        <v>497</v>
      </c>
      <c r="B649" s="24" t="s">
        <v>846</v>
      </c>
      <c r="C649" s="24" t="s">
        <v>474</v>
      </c>
      <c r="D649" s="30"/>
      <c r="E649" s="14"/>
      <c r="F649" s="117">
        <f>F650</f>
        <v>1800</v>
      </c>
    </row>
    <row r="650" spans="1:6" s="39" customFormat="1" ht="15" x14ac:dyDescent="0.2">
      <c r="A650" s="61" t="s">
        <v>498</v>
      </c>
      <c r="B650" s="24" t="s">
        <v>846</v>
      </c>
      <c r="C650" s="24" t="s">
        <v>474</v>
      </c>
      <c r="D650" s="24" t="s">
        <v>817</v>
      </c>
      <c r="E650" s="14"/>
      <c r="F650" s="117">
        <f>F651</f>
        <v>1800</v>
      </c>
    </row>
    <row r="651" spans="1:6" s="39" customFormat="1" ht="15" x14ac:dyDescent="0.2">
      <c r="A651" s="84" t="s">
        <v>394</v>
      </c>
      <c r="B651" s="30" t="s">
        <v>846</v>
      </c>
      <c r="C651" s="30" t="s">
        <v>474</v>
      </c>
      <c r="D651" s="30" t="s">
        <v>817</v>
      </c>
      <c r="E651" s="30" t="s">
        <v>733</v>
      </c>
      <c r="F651" s="118">
        <f>F652</f>
        <v>1800</v>
      </c>
    </row>
    <row r="652" spans="1:6" s="39" customFormat="1" ht="15" x14ac:dyDescent="0.2">
      <c r="A652" s="84" t="s">
        <v>734</v>
      </c>
      <c r="B652" s="30" t="s">
        <v>846</v>
      </c>
      <c r="C652" s="30" t="s">
        <v>474</v>
      </c>
      <c r="D652" s="30" t="s">
        <v>817</v>
      </c>
      <c r="E652" s="30" t="s">
        <v>735</v>
      </c>
      <c r="F652" s="118">
        <f>1300+500</f>
        <v>1800</v>
      </c>
    </row>
    <row r="653" spans="1:6" s="39" customFormat="1" ht="15" x14ac:dyDescent="0.2">
      <c r="A653" s="75" t="s">
        <v>286</v>
      </c>
      <c r="B653" s="106" t="s">
        <v>846</v>
      </c>
      <c r="C653" s="24"/>
      <c r="D653" s="24"/>
      <c r="E653" s="24"/>
      <c r="F653" s="117">
        <f>F654</f>
        <v>1300</v>
      </c>
    </row>
    <row r="654" spans="1:6" s="39" customFormat="1" ht="15" x14ac:dyDescent="0.2">
      <c r="A654" s="61" t="s">
        <v>673</v>
      </c>
      <c r="B654" s="106" t="s">
        <v>846</v>
      </c>
      <c r="C654" s="24" t="s">
        <v>824</v>
      </c>
      <c r="D654" s="30"/>
      <c r="E654" s="24"/>
      <c r="F654" s="117">
        <f>F655</f>
        <v>1300</v>
      </c>
    </row>
    <row r="655" spans="1:6" s="39" customFormat="1" ht="15" x14ac:dyDescent="0.2">
      <c r="A655" s="80" t="s">
        <v>677</v>
      </c>
      <c r="B655" s="106" t="s">
        <v>846</v>
      </c>
      <c r="C655" s="24" t="s">
        <v>824</v>
      </c>
      <c r="D655" s="24" t="s">
        <v>818</v>
      </c>
      <c r="E655" s="24"/>
      <c r="F655" s="117">
        <f>F656</f>
        <v>1300</v>
      </c>
    </row>
    <row r="656" spans="1:6" s="39" customFormat="1" ht="15" x14ac:dyDescent="0.2">
      <c r="A656" s="84" t="s">
        <v>473</v>
      </c>
      <c r="B656" s="30" t="s">
        <v>846</v>
      </c>
      <c r="C656" s="30" t="s">
        <v>824</v>
      </c>
      <c r="D656" s="30" t="s">
        <v>818</v>
      </c>
      <c r="E656" s="30" t="s">
        <v>226</v>
      </c>
      <c r="F656" s="118">
        <f>F657</f>
        <v>1300</v>
      </c>
    </row>
    <row r="657" spans="1:6" s="39" customFormat="1" ht="24" x14ac:dyDescent="0.2">
      <c r="A657" s="84" t="s">
        <v>227</v>
      </c>
      <c r="B657" s="30" t="s">
        <v>846</v>
      </c>
      <c r="C657" s="30" t="s">
        <v>824</v>
      </c>
      <c r="D657" s="30" t="s">
        <v>818</v>
      </c>
      <c r="E657" s="30" t="s">
        <v>228</v>
      </c>
      <c r="F657" s="118">
        <f>200+300+800</f>
        <v>1300</v>
      </c>
    </row>
    <row r="658" spans="1:6" s="39" customFormat="1" ht="15" x14ac:dyDescent="0.2">
      <c r="A658" s="75" t="s">
        <v>286</v>
      </c>
      <c r="B658" s="106" t="s">
        <v>846</v>
      </c>
      <c r="C658" s="30"/>
      <c r="D658" s="30"/>
      <c r="E658" s="30"/>
      <c r="F658" s="117">
        <f>F659</f>
        <v>600</v>
      </c>
    </row>
    <row r="659" spans="1:6" s="39" customFormat="1" ht="15" x14ac:dyDescent="0.2">
      <c r="A659" s="61" t="s">
        <v>689</v>
      </c>
      <c r="B659" s="24" t="s">
        <v>846</v>
      </c>
      <c r="C659" s="24" t="s">
        <v>822</v>
      </c>
      <c r="D659" s="24"/>
      <c r="E659" s="30"/>
      <c r="F659" s="117">
        <f>F660</f>
        <v>600</v>
      </c>
    </row>
    <row r="660" spans="1:6" s="39" customFormat="1" ht="15" x14ac:dyDescent="0.2">
      <c r="A660" s="61" t="s">
        <v>799</v>
      </c>
      <c r="B660" s="24" t="s">
        <v>846</v>
      </c>
      <c r="C660" s="24" t="s">
        <v>822</v>
      </c>
      <c r="D660" s="24" t="s">
        <v>216</v>
      </c>
      <c r="E660" s="30"/>
      <c r="F660" s="117">
        <f>F661+F663</f>
        <v>600</v>
      </c>
    </row>
    <row r="661" spans="1:6" s="39" customFormat="1" ht="15" x14ac:dyDescent="0.2">
      <c r="A661" s="84" t="s">
        <v>473</v>
      </c>
      <c r="B661" s="30" t="s">
        <v>846</v>
      </c>
      <c r="C661" s="30" t="s">
        <v>822</v>
      </c>
      <c r="D661" s="30" t="s">
        <v>216</v>
      </c>
      <c r="E661" s="30" t="s">
        <v>226</v>
      </c>
      <c r="F661" s="118">
        <f>F662</f>
        <v>600</v>
      </c>
    </row>
    <row r="662" spans="1:6" s="39" customFormat="1" ht="24" x14ac:dyDescent="0.2">
      <c r="A662" s="84" t="s">
        <v>227</v>
      </c>
      <c r="B662" s="30" t="s">
        <v>846</v>
      </c>
      <c r="C662" s="30" t="s">
        <v>822</v>
      </c>
      <c r="D662" s="30" t="s">
        <v>216</v>
      </c>
      <c r="E662" s="30" t="s">
        <v>228</v>
      </c>
      <c r="F662" s="118">
        <v>600</v>
      </c>
    </row>
    <row r="663" spans="1:6" s="39" customFormat="1" ht="15" x14ac:dyDescent="0.2">
      <c r="A663" s="84" t="s">
        <v>394</v>
      </c>
      <c r="B663" s="30" t="s">
        <v>846</v>
      </c>
      <c r="C663" s="30" t="s">
        <v>822</v>
      </c>
      <c r="D663" s="30" t="s">
        <v>216</v>
      </c>
      <c r="E663" s="30" t="s">
        <v>733</v>
      </c>
      <c r="F663" s="118">
        <f>F664</f>
        <v>0</v>
      </c>
    </row>
    <row r="664" spans="1:6" s="39" customFormat="1" ht="15" x14ac:dyDescent="0.2">
      <c r="A664" s="84" t="s">
        <v>734</v>
      </c>
      <c r="B664" s="30" t="s">
        <v>846</v>
      </c>
      <c r="C664" s="30" t="s">
        <v>822</v>
      </c>
      <c r="D664" s="30" t="s">
        <v>216</v>
      </c>
      <c r="E664" s="30" t="s">
        <v>735</v>
      </c>
      <c r="F664" s="118">
        <f>500-500</f>
        <v>0</v>
      </c>
    </row>
    <row r="665" spans="1:6" s="39" customFormat="1" ht="15" x14ac:dyDescent="0.2">
      <c r="A665" s="80" t="s">
        <v>850</v>
      </c>
      <c r="B665" s="24" t="s">
        <v>851</v>
      </c>
      <c r="C665" s="24"/>
      <c r="D665" s="24"/>
      <c r="E665" s="24"/>
      <c r="F665" s="42">
        <f>F666</f>
        <v>500</v>
      </c>
    </row>
    <row r="666" spans="1:6" s="39" customFormat="1" ht="15" x14ac:dyDescent="0.2">
      <c r="A666" s="61" t="s">
        <v>667</v>
      </c>
      <c r="B666" s="24" t="s">
        <v>851</v>
      </c>
      <c r="C666" s="24" t="s">
        <v>731</v>
      </c>
      <c r="D666" s="30"/>
      <c r="E666" s="14"/>
      <c r="F666" s="42">
        <f>F667</f>
        <v>500</v>
      </c>
    </row>
    <row r="667" spans="1:6" s="39" customFormat="1" ht="15" x14ac:dyDescent="0.2">
      <c r="A667" s="61" t="s">
        <v>669</v>
      </c>
      <c r="B667" s="24" t="s">
        <v>851</v>
      </c>
      <c r="C667" s="24" t="s">
        <v>731</v>
      </c>
      <c r="D667" s="24" t="s">
        <v>825</v>
      </c>
      <c r="E667" s="14"/>
      <c r="F667" s="42">
        <f>F668</f>
        <v>500</v>
      </c>
    </row>
    <row r="668" spans="1:6" s="39" customFormat="1" ht="15" x14ac:dyDescent="0.2">
      <c r="A668" s="84" t="s">
        <v>473</v>
      </c>
      <c r="B668" s="30" t="s">
        <v>851</v>
      </c>
      <c r="C668" s="30" t="s">
        <v>731</v>
      </c>
      <c r="D668" s="30" t="s">
        <v>825</v>
      </c>
      <c r="E668" s="30" t="s">
        <v>226</v>
      </c>
      <c r="F668" s="41">
        <f>F669</f>
        <v>500</v>
      </c>
    </row>
    <row r="669" spans="1:6" s="39" customFormat="1" ht="24" x14ac:dyDescent="0.2">
      <c r="A669" s="84" t="s">
        <v>227</v>
      </c>
      <c r="B669" s="30" t="s">
        <v>851</v>
      </c>
      <c r="C669" s="30" t="s">
        <v>731</v>
      </c>
      <c r="D669" s="30" t="s">
        <v>825</v>
      </c>
      <c r="E669" s="30" t="s">
        <v>228</v>
      </c>
      <c r="F669" s="41">
        <v>500</v>
      </c>
    </row>
    <row r="670" spans="1:6" s="39" customFormat="1" ht="24" x14ac:dyDescent="0.2">
      <c r="A670" s="80" t="s">
        <v>0</v>
      </c>
      <c r="B670" s="24" t="s">
        <v>1</v>
      </c>
      <c r="C670" s="24"/>
      <c r="D670" s="24"/>
      <c r="E670" s="24"/>
      <c r="F670" s="42">
        <f>F671</f>
        <v>700</v>
      </c>
    </row>
    <row r="671" spans="1:6" s="39" customFormat="1" ht="15" x14ac:dyDescent="0.2">
      <c r="A671" s="61" t="s">
        <v>667</v>
      </c>
      <c r="B671" s="24" t="s">
        <v>1</v>
      </c>
      <c r="C671" s="24" t="s">
        <v>731</v>
      </c>
      <c r="D671" s="30"/>
      <c r="E671" s="14"/>
      <c r="F671" s="42">
        <f>F672</f>
        <v>700</v>
      </c>
    </row>
    <row r="672" spans="1:6" s="39" customFormat="1" ht="15" x14ac:dyDescent="0.2">
      <c r="A672" s="61" t="s">
        <v>669</v>
      </c>
      <c r="B672" s="24" t="s">
        <v>1</v>
      </c>
      <c r="C672" s="24" t="s">
        <v>731</v>
      </c>
      <c r="D672" s="24" t="s">
        <v>825</v>
      </c>
      <c r="E672" s="14"/>
      <c r="F672" s="42">
        <f>F673</f>
        <v>700</v>
      </c>
    </row>
    <row r="673" spans="1:6" s="39" customFormat="1" ht="15" x14ac:dyDescent="0.2">
      <c r="A673" s="84" t="s">
        <v>473</v>
      </c>
      <c r="B673" s="30" t="s">
        <v>1</v>
      </c>
      <c r="C673" s="30" t="s">
        <v>731</v>
      </c>
      <c r="D673" s="30" t="s">
        <v>825</v>
      </c>
      <c r="E673" s="30" t="s">
        <v>226</v>
      </c>
      <c r="F673" s="41">
        <f>F674</f>
        <v>700</v>
      </c>
    </row>
    <row r="674" spans="1:6" s="39" customFormat="1" ht="24" x14ac:dyDescent="0.2">
      <c r="A674" s="84" t="s">
        <v>227</v>
      </c>
      <c r="B674" s="30" t="s">
        <v>1</v>
      </c>
      <c r="C674" s="30" t="s">
        <v>731</v>
      </c>
      <c r="D674" s="30" t="s">
        <v>825</v>
      </c>
      <c r="E674" s="30" t="s">
        <v>228</v>
      </c>
      <c r="F674" s="41">
        <v>700</v>
      </c>
    </row>
    <row r="675" spans="1:6" s="39" customFormat="1" ht="15" x14ac:dyDescent="0.2">
      <c r="A675" s="80" t="s">
        <v>396</v>
      </c>
      <c r="B675" s="24" t="s">
        <v>847</v>
      </c>
      <c r="C675" s="24"/>
      <c r="D675" s="24"/>
      <c r="E675" s="24"/>
      <c r="F675" s="138">
        <f>F676</f>
        <v>2802.8</v>
      </c>
    </row>
    <row r="676" spans="1:6" s="39" customFormat="1" ht="15" x14ac:dyDescent="0.2">
      <c r="A676" s="61" t="s">
        <v>655</v>
      </c>
      <c r="B676" s="24" t="s">
        <v>847</v>
      </c>
      <c r="C676" s="24" t="s">
        <v>216</v>
      </c>
      <c r="D676" s="24"/>
      <c r="E676" s="24"/>
      <c r="F676" s="138">
        <f>F677</f>
        <v>2802.8</v>
      </c>
    </row>
    <row r="677" spans="1:6" s="39" customFormat="1" ht="15" x14ac:dyDescent="0.2">
      <c r="A677" s="61" t="s">
        <v>698</v>
      </c>
      <c r="B677" s="24" t="s">
        <v>847</v>
      </c>
      <c r="C677" s="24" t="s">
        <v>216</v>
      </c>
      <c r="D677" s="24" t="s">
        <v>823</v>
      </c>
      <c r="E677" s="24"/>
      <c r="F677" s="138">
        <f>F678</f>
        <v>2802.8</v>
      </c>
    </row>
    <row r="678" spans="1:6" s="39" customFormat="1" ht="15" x14ac:dyDescent="0.2">
      <c r="A678" s="84" t="s">
        <v>473</v>
      </c>
      <c r="B678" s="30" t="s">
        <v>847</v>
      </c>
      <c r="C678" s="30" t="s">
        <v>216</v>
      </c>
      <c r="D678" s="30" t="s">
        <v>823</v>
      </c>
      <c r="E678" s="30" t="s">
        <v>226</v>
      </c>
      <c r="F678" s="139">
        <f>F679</f>
        <v>2802.8</v>
      </c>
    </row>
    <row r="679" spans="1:6" s="39" customFormat="1" ht="24" x14ac:dyDescent="0.2">
      <c r="A679" s="84" t="s">
        <v>227</v>
      </c>
      <c r="B679" s="30" t="s">
        <v>847</v>
      </c>
      <c r="C679" s="30" t="s">
        <v>216</v>
      </c>
      <c r="D679" s="30" t="s">
        <v>823</v>
      </c>
      <c r="E679" s="30" t="s">
        <v>228</v>
      </c>
      <c r="F679" s="139">
        <v>2802.8</v>
      </c>
    </row>
    <row r="680" spans="1:6" s="39" customFormat="1" ht="15" x14ac:dyDescent="0.2">
      <c r="A680" s="80" t="s">
        <v>396</v>
      </c>
      <c r="B680" s="24" t="s">
        <v>847</v>
      </c>
      <c r="C680" s="24"/>
      <c r="D680" s="24"/>
      <c r="E680" s="24"/>
      <c r="F680" s="42">
        <f>F681</f>
        <v>15814.537480000001</v>
      </c>
    </row>
    <row r="681" spans="1:6" s="39" customFormat="1" ht="15" x14ac:dyDescent="0.2">
      <c r="A681" s="61" t="s">
        <v>667</v>
      </c>
      <c r="B681" s="24" t="s">
        <v>847</v>
      </c>
      <c r="C681" s="24" t="s">
        <v>731</v>
      </c>
      <c r="D681" s="30"/>
      <c r="E681" s="14"/>
      <c r="F681" s="42">
        <f>F682</f>
        <v>15814.537480000001</v>
      </c>
    </row>
    <row r="682" spans="1:6" s="39" customFormat="1" ht="15" x14ac:dyDescent="0.2">
      <c r="A682" s="61" t="s">
        <v>669</v>
      </c>
      <c r="B682" s="24" t="s">
        <v>847</v>
      </c>
      <c r="C682" s="24" t="s">
        <v>731</v>
      </c>
      <c r="D682" s="24" t="s">
        <v>825</v>
      </c>
      <c r="E682" s="14"/>
      <c r="F682" s="42">
        <f>F683</f>
        <v>15814.537480000001</v>
      </c>
    </row>
    <row r="683" spans="1:6" s="39" customFormat="1" ht="15" x14ac:dyDescent="0.2">
      <c r="A683" s="84" t="s">
        <v>394</v>
      </c>
      <c r="B683" s="30" t="s">
        <v>847</v>
      </c>
      <c r="C683" s="16" t="s">
        <v>731</v>
      </c>
      <c r="D683" s="16" t="s">
        <v>825</v>
      </c>
      <c r="E683" s="30" t="s">
        <v>733</v>
      </c>
      <c r="F683" s="41">
        <f>F684</f>
        <v>15814.537480000001</v>
      </c>
    </row>
    <row r="684" spans="1:6" s="39" customFormat="1" ht="15" x14ac:dyDescent="0.2">
      <c r="A684" s="84" t="s">
        <v>734</v>
      </c>
      <c r="B684" s="30" t="s">
        <v>847</v>
      </c>
      <c r="C684" s="16" t="s">
        <v>731</v>
      </c>
      <c r="D684" s="16" t="s">
        <v>825</v>
      </c>
      <c r="E684" s="30" t="s">
        <v>735</v>
      </c>
      <c r="F684" s="41">
        <f>33726.4-500-5000-1200-11.15151-300-600-7300-3000-0.71101</f>
        <v>15814.537480000001</v>
      </c>
    </row>
    <row r="685" spans="1:6" s="39" customFormat="1" ht="15" x14ac:dyDescent="0.2">
      <c r="A685" s="80" t="s">
        <v>396</v>
      </c>
      <c r="B685" s="24" t="s">
        <v>847</v>
      </c>
      <c r="C685" s="24"/>
      <c r="D685" s="24"/>
      <c r="E685" s="24"/>
      <c r="F685" s="42">
        <f>F686</f>
        <v>4077.9</v>
      </c>
    </row>
    <row r="686" spans="1:6" s="39" customFormat="1" ht="15" x14ac:dyDescent="0.2">
      <c r="A686" s="61" t="s">
        <v>673</v>
      </c>
      <c r="B686" s="106" t="s">
        <v>847</v>
      </c>
      <c r="C686" s="24" t="s">
        <v>824</v>
      </c>
      <c r="D686" s="30"/>
      <c r="E686" s="24"/>
      <c r="F686" s="117">
        <f>F687</f>
        <v>4077.9</v>
      </c>
    </row>
    <row r="687" spans="1:6" s="39" customFormat="1" ht="15" x14ac:dyDescent="0.2">
      <c r="A687" s="80" t="s">
        <v>677</v>
      </c>
      <c r="B687" s="106" t="s">
        <v>847</v>
      </c>
      <c r="C687" s="24" t="s">
        <v>824</v>
      </c>
      <c r="D687" s="24" t="s">
        <v>818</v>
      </c>
      <c r="E687" s="24"/>
      <c r="F687" s="117">
        <f>F688+F690</f>
        <v>4077.9</v>
      </c>
    </row>
    <row r="688" spans="1:6" s="39" customFormat="1" ht="15" x14ac:dyDescent="0.2">
      <c r="A688" s="84" t="s">
        <v>473</v>
      </c>
      <c r="B688" s="30" t="s">
        <v>847</v>
      </c>
      <c r="C688" s="30" t="s">
        <v>824</v>
      </c>
      <c r="D688" s="30" t="s">
        <v>818</v>
      </c>
      <c r="E688" s="30" t="s">
        <v>226</v>
      </c>
      <c r="F688" s="41">
        <f>F689</f>
        <v>577.90000000000009</v>
      </c>
    </row>
    <row r="689" spans="1:6" s="39" customFormat="1" ht="24" x14ac:dyDescent="0.2">
      <c r="A689" s="84" t="s">
        <v>227</v>
      </c>
      <c r="B689" s="30" t="s">
        <v>847</v>
      </c>
      <c r="C689" s="30" t="s">
        <v>824</v>
      </c>
      <c r="D689" s="30" t="s">
        <v>818</v>
      </c>
      <c r="E689" s="30" t="s">
        <v>228</v>
      </c>
      <c r="F689" s="41">
        <f>4077.9-3500</f>
        <v>577.90000000000009</v>
      </c>
    </row>
    <row r="690" spans="1:6" s="39" customFormat="1" ht="15" x14ac:dyDescent="0.2">
      <c r="A690" s="84" t="s">
        <v>394</v>
      </c>
      <c r="B690" s="30" t="s">
        <v>847</v>
      </c>
      <c r="C690" s="30" t="s">
        <v>824</v>
      </c>
      <c r="D690" s="30" t="s">
        <v>818</v>
      </c>
      <c r="E690" s="30" t="s">
        <v>733</v>
      </c>
      <c r="F690" s="41">
        <f>F691</f>
        <v>3500</v>
      </c>
    </row>
    <row r="691" spans="1:6" s="39" customFormat="1" ht="15" x14ac:dyDescent="0.2">
      <c r="A691" s="84" t="s">
        <v>734</v>
      </c>
      <c r="B691" s="30" t="s">
        <v>847</v>
      </c>
      <c r="C691" s="30" t="s">
        <v>824</v>
      </c>
      <c r="D691" s="30" t="s">
        <v>818</v>
      </c>
      <c r="E691" s="30" t="s">
        <v>735</v>
      </c>
      <c r="F691" s="41">
        <v>3500</v>
      </c>
    </row>
    <row r="692" spans="1:6" s="39" customFormat="1" ht="15" x14ac:dyDescent="0.2">
      <c r="A692" s="80" t="s">
        <v>396</v>
      </c>
      <c r="B692" s="24" t="s">
        <v>847</v>
      </c>
      <c r="C692" s="24"/>
      <c r="D692" s="24"/>
      <c r="E692" s="24"/>
      <c r="F692" s="42">
        <f>F693</f>
        <v>8.4585600000000003</v>
      </c>
    </row>
    <row r="693" spans="1:6" s="39" customFormat="1" ht="15" x14ac:dyDescent="0.2">
      <c r="A693" s="61" t="s">
        <v>691</v>
      </c>
      <c r="B693" s="106" t="s">
        <v>847</v>
      </c>
      <c r="C693" s="24" t="s">
        <v>232</v>
      </c>
      <c r="D693" s="30"/>
      <c r="E693" s="24"/>
      <c r="F693" s="117">
        <f>F694</f>
        <v>8.4585600000000003</v>
      </c>
    </row>
    <row r="694" spans="1:6" s="39" customFormat="1" ht="15" x14ac:dyDescent="0.2">
      <c r="A694" s="61" t="s">
        <v>313</v>
      </c>
      <c r="B694" s="106" t="s">
        <v>847</v>
      </c>
      <c r="C694" s="24" t="s">
        <v>232</v>
      </c>
      <c r="D694" s="24" t="s">
        <v>825</v>
      </c>
      <c r="E694" s="24"/>
      <c r="F694" s="117">
        <f>F695</f>
        <v>8.4585600000000003</v>
      </c>
    </row>
    <row r="695" spans="1:6" s="39" customFormat="1" ht="15" x14ac:dyDescent="0.2">
      <c r="A695" s="84" t="s">
        <v>473</v>
      </c>
      <c r="B695" s="30" t="s">
        <v>847</v>
      </c>
      <c r="C695" s="30" t="s">
        <v>232</v>
      </c>
      <c r="D695" s="30" t="s">
        <v>825</v>
      </c>
      <c r="E695" s="30" t="s">
        <v>226</v>
      </c>
      <c r="F695" s="41">
        <f>F696</f>
        <v>8.4585600000000003</v>
      </c>
    </row>
    <row r="696" spans="1:6" s="39" customFormat="1" ht="24" x14ac:dyDescent="0.2">
      <c r="A696" s="84" t="s">
        <v>227</v>
      </c>
      <c r="B696" s="30" t="s">
        <v>847</v>
      </c>
      <c r="C696" s="30" t="s">
        <v>232</v>
      </c>
      <c r="D696" s="30" t="s">
        <v>825</v>
      </c>
      <c r="E696" s="30" t="s">
        <v>228</v>
      </c>
      <c r="F696" s="41">
        <v>8.4585600000000003</v>
      </c>
    </row>
    <row r="697" spans="1:6" s="39" customFormat="1" ht="15" x14ac:dyDescent="0.2">
      <c r="A697" s="75" t="s">
        <v>335</v>
      </c>
      <c r="B697" s="106" t="s">
        <v>6</v>
      </c>
      <c r="C697" s="24"/>
      <c r="D697" s="24"/>
      <c r="E697" s="24"/>
      <c r="F697" s="42">
        <f>F698</f>
        <v>46247.7</v>
      </c>
    </row>
    <row r="698" spans="1:6" s="39" customFormat="1" ht="15" x14ac:dyDescent="0.2">
      <c r="A698" s="61" t="s">
        <v>673</v>
      </c>
      <c r="B698" s="106" t="s">
        <v>6</v>
      </c>
      <c r="C698" s="24" t="s">
        <v>824</v>
      </c>
      <c r="D698" s="30"/>
      <c r="E698" s="24"/>
      <c r="F698" s="117">
        <f>F699</f>
        <v>46247.7</v>
      </c>
    </row>
    <row r="699" spans="1:6" s="39" customFormat="1" ht="15" x14ac:dyDescent="0.2">
      <c r="A699" s="80" t="s">
        <v>677</v>
      </c>
      <c r="B699" s="106" t="s">
        <v>6</v>
      </c>
      <c r="C699" s="24" t="s">
        <v>824</v>
      </c>
      <c r="D699" s="24" t="s">
        <v>818</v>
      </c>
      <c r="E699" s="24"/>
      <c r="F699" s="117">
        <f>F700</f>
        <v>46247.7</v>
      </c>
    </row>
    <row r="700" spans="1:6" s="39" customFormat="1" ht="15" x14ac:dyDescent="0.2">
      <c r="A700" s="84" t="s">
        <v>473</v>
      </c>
      <c r="B700" s="96" t="s">
        <v>6</v>
      </c>
      <c r="C700" s="30" t="s">
        <v>824</v>
      </c>
      <c r="D700" s="30" t="s">
        <v>818</v>
      </c>
      <c r="E700" s="30" t="s">
        <v>226</v>
      </c>
      <c r="F700" s="41">
        <f>F701</f>
        <v>46247.7</v>
      </c>
    </row>
    <row r="701" spans="1:6" s="39" customFormat="1" ht="24" x14ac:dyDescent="0.2">
      <c r="A701" s="84" t="s">
        <v>227</v>
      </c>
      <c r="B701" s="96" t="s">
        <v>6</v>
      </c>
      <c r="C701" s="30" t="s">
        <v>824</v>
      </c>
      <c r="D701" s="30" t="s">
        <v>818</v>
      </c>
      <c r="E701" s="30" t="s">
        <v>228</v>
      </c>
      <c r="F701" s="41">
        <f>39747.7+1200+2000+2500-300+1100</f>
        <v>46247.7</v>
      </c>
    </row>
    <row r="702" spans="1:6" s="39" customFormat="1" ht="24" x14ac:dyDescent="0.2">
      <c r="A702" s="80" t="s">
        <v>560</v>
      </c>
      <c r="B702" s="106" t="s">
        <v>7</v>
      </c>
      <c r="C702" s="24"/>
      <c r="D702" s="24"/>
      <c r="E702" s="24"/>
      <c r="F702" s="42">
        <f>F703</f>
        <v>22645.200000000001</v>
      </c>
    </row>
    <row r="703" spans="1:6" s="39" customFormat="1" ht="15" x14ac:dyDescent="0.2">
      <c r="A703" s="61" t="s">
        <v>673</v>
      </c>
      <c r="B703" s="106" t="s">
        <v>7</v>
      </c>
      <c r="C703" s="24" t="s">
        <v>824</v>
      </c>
      <c r="D703" s="30"/>
      <c r="E703" s="24"/>
      <c r="F703" s="117">
        <f>F704</f>
        <v>22645.200000000001</v>
      </c>
    </row>
    <row r="704" spans="1:6" s="39" customFormat="1" ht="15" x14ac:dyDescent="0.2">
      <c r="A704" s="80" t="s">
        <v>677</v>
      </c>
      <c r="B704" s="106" t="s">
        <v>7</v>
      </c>
      <c r="C704" s="24" t="s">
        <v>824</v>
      </c>
      <c r="D704" s="24" t="s">
        <v>818</v>
      </c>
      <c r="E704" s="24"/>
      <c r="F704" s="117">
        <f>F705</f>
        <v>22645.200000000001</v>
      </c>
    </row>
    <row r="705" spans="1:6" s="39" customFormat="1" ht="15" x14ac:dyDescent="0.2">
      <c r="A705" s="84" t="s">
        <v>394</v>
      </c>
      <c r="B705" s="30" t="s">
        <v>7</v>
      </c>
      <c r="C705" s="30" t="s">
        <v>824</v>
      </c>
      <c r="D705" s="30" t="s">
        <v>818</v>
      </c>
      <c r="E705" s="30" t="s">
        <v>733</v>
      </c>
      <c r="F705" s="41">
        <f>F706</f>
        <v>22645.200000000001</v>
      </c>
    </row>
    <row r="706" spans="1:6" s="39" customFormat="1" ht="15" x14ac:dyDescent="0.2">
      <c r="A706" s="84" t="s">
        <v>734</v>
      </c>
      <c r="B706" s="30" t="s">
        <v>7</v>
      </c>
      <c r="C706" s="30" t="s">
        <v>824</v>
      </c>
      <c r="D706" s="30" t="s">
        <v>818</v>
      </c>
      <c r="E706" s="30" t="s">
        <v>735</v>
      </c>
      <c r="F706" s="41">
        <v>22645.200000000001</v>
      </c>
    </row>
    <row r="707" spans="1:6" s="39" customFormat="1" ht="24" x14ac:dyDescent="0.2">
      <c r="A707" s="80" t="s">
        <v>8</v>
      </c>
      <c r="B707" s="24" t="s">
        <v>9</v>
      </c>
      <c r="C707" s="24"/>
      <c r="D707" s="24"/>
      <c r="E707" s="24"/>
      <c r="F707" s="227">
        <f>F708</f>
        <v>0</v>
      </c>
    </row>
    <row r="708" spans="1:6" s="39" customFormat="1" ht="15" x14ac:dyDescent="0.2">
      <c r="A708" s="61" t="s">
        <v>673</v>
      </c>
      <c r="B708" s="106" t="s">
        <v>9</v>
      </c>
      <c r="C708" s="24" t="s">
        <v>824</v>
      </c>
      <c r="D708" s="30"/>
      <c r="E708" s="24"/>
      <c r="F708" s="117">
        <f>F709</f>
        <v>0</v>
      </c>
    </row>
    <row r="709" spans="1:6" s="39" customFormat="1" ht="15" x14ac:dyDescent="0.2">
      <c r="A709" s="80" t="s">
        <v>677</v>
      </c>
      <c r="B709" s="106" t="s">
        <v>9</v>
      </c>
      <c r="C709" s="24" t="s">
        <v>824</v>
      </c>
      <c r="D709" s="24" t="s">
        <v>818</v>
      </c>
      <c r="E709" s="24"/>
      <c r="F709" s="117">
        <f>F710</f>
        <v>0</v>
      </c>
    </row>
    <row r="710" spans="1:6" s="39" customFormat="1" ht="15" x14ac:dyDescent="0.2">
      <c r="A710" s="84" t="s">
        <v>394</v>
      </c>
      <c r="B710" s="30" t="s">
        <v>9</v>
      </c>
      <c r="C710" s="30" t="s">
        <v>824</v>
      </c>
      <c r="D710" s="30" t="s">
        <v>818</v>
      </c>
      <c r="E710" s="30" t="s">
        <v>733</v>
      </c>
      <c r="F710" s="228">
        <f>F711</f>
        <v>0</v>
      </c>
    </row>
    <row r="711" spans="1:6" s="39" customFormat="1" ht="15" x14ac:dyDescent="0.2">
      <c r="A711" s="84" t="s">
        <v>734</v>
      </c>
      <c r="B711" s="30" t="s">
        <v>9</v>
      </c>
      <c r="C711" s="30" t="s">
        <v>824</v>
      </c>
      <c r="D711" s="30" t="s">
        <v>818</v>
      </c>
      <c r="E711" s="30" t="s">
        <v>735</v>
      </c>
      <c r="F711" s="228">
        <f>2000-800-1200</f>
        <v>0</v>
      </c>
    </row>
    <row r="712" spans="1:6" s="39" customFormat="1" ht="15" x14ac:dyDescent="0.2">
      <c r="A712" s="80" t="s">
        <v>11</v>
      </c>
      <c r="B712" s="24" t="s">
        <v>12</v>
      </c>
      <c r="C712" s="24"/>
      <c r="D712" s="24"/>
      <c r="E712" s="24"/>
      <c r="F712" s="42">
        <f>F713</f>
        <v>2500</v>
      </c>
    </row>
    <row r="713" spans="1:6" s="39" customFormat="1" ht="15" x14ac:dyDescent="0.2">
      <c r="A713" s="61" t="s">
        <v>691</v>
      </c>
      <c r="B713" s="24" t="s">
        <v>12</v>
      </c>
      <c r="C713" s="24" t="s">
        <v>232</v>
      </c>
      <c r="D713" s="24"/>
      <c r="E713" s="24"/>
      <c r="F713" s="42">
        <f>F714</f>
        <v>2500</v>
      </c>
    </row>
    <row r="714" spans="1:6" s="39" customFormat="1" ht="15" x14ac:dyDescent="0.2">
      <c r="A714" s="61" t="s">
        <v>313</v>
      </c>
      <c r="B714" s="24" t="s">
        <v>12</v>
      </c>
      <c r="C714" s="44" t="s">
        <v>232</v>
      </c>
      <c r="D714" s="44" t="s">
        <v>825</v>
      </c>
      <c r="E714" s="24"/>
      <c r="F714" s="42">
        <f>F715</f>
        <v>2500</v>
      </c>
    </row>
    <row r="715" spans="1:6" s="39" customFormat="1" ht="15" x14ac:dyDescent="0.2">
      <c r="A715" s="84" t="s">
        <v>473</v>
      </c>
      <c r="B715" s="30" t="s">
        <v>12</v>
      </c>
      <c r="C715" s="52" t="s">
        <v>232</v>
      </c>
      <c r="D715" s="52" t="s">
        <v>825</v>
      </c>
      <c r="E715" s="30" t="s">
        <v>226</v>
      </c>
      <c r="F715" s="41">
        <f>F716</f>
        <v>2500</v>
      </c>
    </row>
    <row r="716" spans="1:6" s="39" customFormat="1" ht="24" x14ac:dyDescent="0.2">
      <c r="A716" s="84" t="s">
        <v>227</v>
      </c>
      <c r="B716" s="30" t="s">
        <v>12</v>
      </c>
      <c r="C716" s="30" t="s">
        <v>232</v>
      </c>
      <c r="D716" s="30" t="s">
        <v>825</v>
      </c>
      <c r="E716" s="30" t="s">
        <v>228</v>
      </c>
      <c r="F716" s="41">
        <v>2500</v>
      </c>
    </row>
    <row r="717" spans="1:6" s="39" customFormat="1" ht="15" x14ac:dyDescent="0.2">
      <c r="A717" s="80" t="s">
        <v>395</v>
      </c>
      <c r="B717" s="24" t="s">
        <v>843</v>
      </c>
      <c r="C717" s="24"/>
      <c r="D717" s="24"/>
      <c r="E717" s="24"/>
      <c r="F717" s="42">
        <f>F718</f>
        <v>6800</v>
      </c>
    </row>
    <row r="718" spans="1:6" s="39" customFormat="1" ht="15" x14ac:dyDescent="0.2">
      <c r="A718" s="61" t="s">
        <v>655</v>
      </c>
      <c r="B718" s="24" t="s">
        <v>843</v>
      </c>
      <c r="C718" s="24" t="s">
        <v>216</v>
      </c>
      <c r="D718" s="24"/>
      <c r="E718" s="24"/>
      <c r="F718" s="42">
        <f>F719</f>
        <v>6800</v>
      </c>
    </row>
    <row r="719" spans="1:6" s="39" customFormat="1" ht="15" x14ac:dyDescent="0.2">
      <c r="A719" s="61" t="s">
        <v>698</v>
      </c>
      <c r="B719" s="24" t="s">
        <v>843</v>
      </c>
      <c r="C719" s="24" t="s">
        <v>216</v>
      </c>
      <c r="D719" s="24" t="s">
        <v>823</v>
      </c>
      <c r="E719" s="24"/>
      <c r="F719" s="42">
        <f>F720</f>
        <v>6800</v>
      </c>
    </row>
    <row r="720" spans="1:6" s="39" customFormat="1" ht="15" x14ac:dyDescent="0.2">
      <c r="A720" s="84" t="s">
        <v>473</v>
      </c>
      <c r="B720" s="30" t="s">
        <v>843</v>
      </c>
      <c r="C720" s="30" t="s">
        <v>216</v>
      </c>
      <c r="D720" s="30" t="s">
        <v>823</v>
      </c>
      <c r="E720" s="30" t="s">
        <v>226</v>
      </c>
      <c r="F720" s="41">
        <f>F721</f>
        <v>6800</v>
      </c>
    </row>
    <row r="721" spans="1:6" s="39" customFormat="1" ht="24" x14ac:dyDescent="0.2">
      <c r="A721" s="84" t="s">
        <v>227</v>
      </c>
      <c r="B721" s="30" t="s">
        <v>843</v>
      </c>
      <c r="C721" s="30" t="s">
        <v>216</v>
      </c>
      <c r="D721" s="30" t="s">
        <v>823</v>
      </c>
      <c r="E721" s="30" t="s">
        <v>228</v>
      </c>
      <c r="F721" s="41">
        <f>5500+1000+300</f>
        <v>6800</v>
      </c>
    </row>
    <row r="722" spans="1:6" s="39" customFormat="1" ht="15" x14ac:dyDescent="0.2">
      <c r="A722" s="80" t="s">
        <v>844</v>
      </c>
      <c r="B722" s="24" t="s">
        <v>845</v>
      </c>
      <c r="C722" s="24"/>
      <c r="D722" s="24"/>
      <c r="E722" s="24"/>
      <c r="F722" s="42">
        <f>F723</f>
        <v>2000</v>
      </c>
    </row>
    <row r="723" spans="1:6" s="39" customFormat="1" ht="15" x14ac:dyDescent="0.2">
      <c r="A723" s="61" t="s">
        <v>655</v>
      </c>
      <c r="B723" s="24" t="s">
        <v>845</v>
      </c>
      <c r="C723" s="24" t="s">
        <v>216</v>
      </c>
      <c r="D723" s="24"/>
      <c r="E723" s="24"/>
      <c r="F723" s="42">
        <f>F724</f>
        <v>2000</v>
      </c>
    </row>
    <row r="724" spans="1:6" s="39" customFormat="1" ht="15" x14ac:dyDescent="0.2">
      <c r="A724" s="61" t="s">
        <v>698</v>
      </c>
      <c r="B724" s="24" t="s">
        <v>845</v>
      </c>
      <c r="C724" s="24" t="s">
        <v>216</v>
      </c>
      <c r="D724" s="24" t="s">
        <v>823</v>
      </c>
      <c r="E724" s="24"/>
      <c r="F724" s="42">
        <f>F725</f>
        <v>2000</v>
      </c>
    </row>
    <row r="725" spans="1:6" s="39" customFormat="1" ht="15" x14ac:dyDescent="0.2">
      <c r="A725" s="84" t="s">
        <v>473</v>
      </c>
      <c r="B725" s="30" t="s">
        <v>845</v>
      </c>
      <c r="C725" s="30" t="s">
        <v>216</v>
      </c>
      <c r="D725" s="30" t="s">
        <v>823</v>
      </c>
      <c r="E725" s="30" t="s">
        <v>226</v>
      </c>
      <c r="F725" s="41">
        <f>F726</f>
        <v>2000</v>
      </c>
    </row>
    <row r="726" spans="1:6" s="39" customFormat="1" ht="24" x14ac:dyDescent="0.2">
      <c r="A726" s="84" t="s">
        <v>227</v>
      </c>
      <c r="B726" s="30" t="s">
        <v>845</v>
      </c>
      <c r="C726" s="30" t="s">
        <v>216</v>
      </c>
      <c r="D726" s="30" t="s">
        <v>823</v>
      </c>
      <c r="E726" s="30" t="s">
        <v>228</v>
      </c>
      <c r="F726" s="41">
        <v>2000</v>
      </c>
    </row>
    <row r="727" spans="1:6" s="39" customFormat="1" ht="15" x14ac:dyDescent="0.2">
      <c r="A727" s="75" t="s">
        <v>2</v>
      </c>
      <c r="B727" s="24" t="s">
        <v>3</v>
      </c>
      <c r="C727" s="24"/>
      <c r="D727" s="24"/>
      <c r="E727" s="24"/>
      <c r="F727" s="42">
        <f>F728</f>
        <v>11400</v>
      </c>
    </row>
    <row r="728" spans="1:6" s="39" customFormat="1" ht="15" x14ac:dyDescent="0.2">
      <c r="A728" s="61" t="s">
        <v>667</v>
      </c>
      <c r="B728" s="24" t="s">
        <v>3</v>
      </c>
      <c r="C728" s="24" t="s">
        <v>731</v>
      </c>
      <c r="D728" s="24"/>
      <c r="E728" s="24"/>
      <c r="F728" s="42">
        <f>F729</f>
        <v>11400</v>
      </c>
    </row>
    <row r="729" spans="1:6" s="39" customFormat="1" ht="15" x14ac:dyDescent="0.2">
      <c r="A729" s="61" t="s">
        <v>671</v>
      </c>
      <c r="B729" s="24" t="s">
        <v>3</v>
      </c>
      <c r="C729" s="24" t="s">
        <v>731</v>
      </c>
      <c r="D729" s="24" t="s">
        <v>817</v>
      </c>
      <c r="E729" s="24"/>
      <c r="F729" s="42">
        <f>F730</f>
        <v>11400</v>
      </c>
    </row>
    <row r="730" spans="1:6" s="39" customFormat="1" ht="15" x14ac:dyDescent="0.2">
      <c r="A730" s="84" t="s">
        <v>357</v>
      </c>
      <c r="B730" s="30" t="s">
        <v>3</v>
      </c>
      <c r="C730" s="30" t="s">
        <v>731</v>
      </c>
      <c r="D730" s="30" t="s">
        <v>817</v>
      </c>
      <c r="E730" s="30" t="s">
        <v>226</v>
      </c>
      <c r="F730" s="41">
        <f>F731</f>
        <v>11400</v>
      </c>
    </row>
    <row r="731" spans="1:6" s="39" customFormat="1" ht="24" x14ac:dyDescent="0.2">
      <c r="A731" s="84" t="s">
        <v>227</v>
      </c>
      <c r="B731" s="30" t="s">
        <v>3</v>
      </c>
      <c r="C731" s="30" t="s">
        <v>731</v>
      </c>
      <c r="D731" s="30" t="s">
        <v>817</v>
      </c>
      <c r="E731" s="30" t="s">
        <v>228</v>
      </c>
      <c r="F731" s="41">
        <v>11400</v>
      </c>
    </row>
    <row r="732" spans="1:6" s="39" customFormat="1" ht="15" x14ac:dyDescent="0.2">
      <c r="A732" s="80" t="s">
        <v>4</v>
      </c>
      <c r="B732" s="24" t="s">
        <v>5</v>
      </c>
      <c r="C732" s="24"/>
      <c r="D732" s="24"/>
      <c r="E732" s="24"/>
      <c r="F732" s="42">
        <f>F733</f>
        <v>7400</v>
      </c>
    </row>
    <row r="733" spans="1:6" s="39" customFormat="1" ht="15" x14ac:dyDescent="0.2">
      <c r="A733" s="61" t="s">
        <v>667</v>
      </c>
      <c r="B733" s="24" t="s">
        <v>5</v>
      </c>
      <c r="C733" s="24" t="s">
        <v>731</v>
      </c>
      <c r="D733" s="24"/>
      <c r="E733" s="24"/>
      <c r="F733" s="42">
        <f>F734</f>
        <v>7400</v>
      </c>
    </row>
    <row r="734" spans="1:6" s="39" customFormat="1" ht="15" x14ac:dyDescent="0.2">
      <c r="A734" s="61" t="s">
        <v>671</v>
      </c>
      <c r="B734" s="24" t="s">
        <v>5</v>
      </c>
      <c r="C734" s="24" t="s">
        <v>731</v>
      </c>
      <c r="D734" s="24" t="s">
        <v>817</v>
      </c>
      <c r="E734" s="24"/>
      <c r="F734" s="42">
        <f>F735</f>
        <v>7400</v>
      </c>
    </row>
    <row r="735" spans="1:6" s="39" customFormat="1" ht="15" x14ac:dyDescent="0.2">
      <c r="A735" s="84" t="s">
        <v>357</v>
      </c>
      <c r="B735" s="30" t="s">
        <v>5</v>
      </c>
      <c r="C735" s="30" t="s">
        <v>731</v>
      </c>
      <c r="D735" s="30" t="s">
        <v>817</v>
      </c>
      <c r="E735" s="30" t="s">
        <v>226</v>
      </c>
      <c r="F735" s="41">
        <f>F736</f>
        <v>7400</v>
      </c>
    </row>
    <row r="736" spans="1:6" s="39" customFormat="1" ht="24" x14ac:dyDescent="0.2">
      <c r="A736" s="84" t="s">
        <v>227</v>
      </c>
      <c r="B736" s="30" t="s">
        <v>5</v>
      </c>
      <c r="C736" s="30" t="s">
        <v>731</v>
      </c>
      <c r="D736" s="30" t="s">
        <v>817</v>
      </c>
      <c r="E736" s="30" t="s">
        <v>228</v>
      </c>
      <c r="F736" s="41">
        <f>3000+4400</f>
        <v>7400</v>
      </c>
    </row>
    <row r="737" spans="1:6" s="39" customFormat="1" ht="15" x14ac:dyDescent="0.2">
      <c r="A737" s="75" t="s">
        <v>499</v>
      </c>
      <c r="B737" s="24" t="s">
        <v>496</v>
      </c>
      <c r="C737" s="173"/>
      <c r="D737" s="173"/>
      <c r="E737" s="173"/>
      <c r="F737" s="42">
        <f>F738</f>
        <v>400</v>
      </c>
    </row>
    <row r="738" spans="1:6" s="39" customFormat="1" ht="15" x14ac:dyDescent="0.2">
      <c r="A738" s="61" t="s">
        <v>497</v>
      </c>
      <c r="B738" s="24" t="s">
        <v>496</v>
      </c>
      <c r="C738" s="24" t="s">
        <v>474</v>
      </c>
      <c r="D738" s="30"/>
      <c r="E738" s="24"/>
      <c r="F738" s="42">
        <f>F739</f>
        <v>400</v>
      </c>
    </row>
    <row r="739" spans="1:6" s="39" customFormat="1" ht="15" x14ac:dyDescent="0.2">
      <c r="A739" s="61" t="s">
        <v>498</v>
      </c>
      <c r="B739" s="24" t="s">
        <v>496</v>
      </c>
      <c r="C739" s="24" t="s">
        <v>474</v>
      </c>
      <c r="D739" s="24" t="s">
        <v>817</v>
      </c>
      <c r="E739" s="24"/>
      <c r="F739" s="42">
        <f>F740</f>
        <v>400</v>
      </c>
    </row>
    <row r="740" spans="1:6" s="39" customFormat="1" ht="15" x14ac:dyDescent="0.2">
      <c r="A740" s="84" t="s">
        <v>394</v>
      </c>
      <c r="B740" s="30" t="s">
        <v>496</v>
      </c>
      <c r="C740" s="30" t="s">
        <v>474</v>
      </c>
      <c r="D740" s="30" t="s">
        <v>817</v>
      </c>
      <c r="E740" s="30" t="s">
        <v>733</v>
      </c>
      <c r="F740" s="41">
        <f>F741</f>
        <v>400</v>
      </c>
    </row>
    <row r="741" spans="1:6" s="39" customFormat="1" ht="15" x14ac:dyDescent="0.2">
      <c r="A741" s="84" t="s">
        <v>734</v>
      </c>
      <c r="B741" s="30" t="s">
        <v>496</v>
      </c>
      <c r="C741" s="30" t="s">
        <v>474</v>
      </c>
      <c r="D741" s="30" t="s">
        <v>817</v>
      </c>
      <c r="E741" s="30" t="s">
        <v>735</v>
      </c>
      <c r="F741" s="41">
        <f>3000-2600</f>
        <v>400</v>
      </c>
    </row>
    <row r="742" spans="1:6" s="39" customFormat="1" ht="15" x14ac:dyDescent="0.2">
      <c r="A742" s="80" t="s">
        <v>486</v>
      </c>
      <c r="B742" s="24" t="s">
        <v>485</v>
      </c>
      <c r="C742" s="24"/>
      <c r="D742" s="24"/>
      <c r="E742" s="24"/>
      <c r="F742" s="42">
        <f>F743</f>
        <v>1000</v>
      </c>
    </row>
    <row r="743" spans="1:6" s="39" customFormat="1" ht="15" x14ac:dyDescent="0.2">
      <c r="A743" s="61" t="s">
        <v>689</v>
      </c>
      <c r="B743" s="24" t="s">
        <v>485</v>
      </c>
      <c r="C743" s="24" t="s">
        <v>822</v>
      </c>
      <c r="D743" s="24"/>
      <c r="E743" s="24"/>
      <c r="F743" s="42">
        <f>F744</f>
        <v>1000</v>
      </c>
    </row>
    <row r="744" spans="1:6" s="39" customFormat="1" ht="15" x14ac:dyDescent="0.2">
      <c r="A744" s="61" t="s">
        <v>799</v>
      </c>
      <c r="B744" s="24" t="s">
        <v>485</v>
      </c>
      <c r="C744" s="24" t="s">
        <v>822</v>
      </c>
      <c r="D744" s="24" t="s">
        <v>216</v>
      </c>
      <c r="E744" s="24"/>
      <c r="F744" s="42">
        <f>F745</f>
        <v>1000</v>
      </c>
    </row>
    <row r="745" spans="1:6" s="39" customFormat="1" ht="15" x14ac:dyDescent="0.2">
      <c r="A745" s="84" t="s">
        <v>394</v>
      </c>
      <c r="B745" s="30" t="s">
        <v>485</v>
      </c>
      <c r="C745" s="30" t="s">
        <v>822</v>
      </c>
      <c r="D745" s="30" t="s">
        <v>216</v>
      </c>
      <c r="E745" s="30" t="s">
        <v>733</v>
      </c>
      <c r="F745" s="41">
        <f>F746</f>
        <v>1000</v>
      </c>
    </row>
    <row r="746" spans="1:6" s="39" customFormat="1" ht="15" x14ac:dyDescent="0.2">
      <c r="A746" s="84" t="s">
        <v>734</v>
      </c>
      <c r="B746" s="30" t="s">
        <v>485</v>
      </c>
      <c r="C746" s="30" t="s">
        <v>822</v>
      </c>
      <c r="D746" s="30" t="s">
        <v>216</v>
      </c>
      <c r="E746" s="30" t="s">
        <v>735</v>
      </c>
      <c r="F746" s="41">
        <f>500+500</f>
        <v>1000</v>
      </c>
    </row>
    <row r="747" spans="1:6" s="39" customFormat="1" ht="48" x14ac:dyDescent="0.2">
      <c r="A747" s="80" t="s">
        <v>150</v>
      </c>
      <c r="B747" s="24" t="s">
        <v>484</v>
      </c>
      <c r="C747" s="24"/>
      <c r="D747" s="24"/>
      <c r="E747" s="24"/>
      <c r="F747" s="42">
        <f>F748</f>
        <v>2225.1</v>
      </c>
    </row>
    <row r="748" spans="1:6" s="39" customFormat="1" ht="15" x14ac:dyDescent="0.2">
      <c r="A748" s="61" t="s">
        <v>673</v>
      </c>
      <c r="B748" s="24" t="s">
        <v>484</v>
      </c>
      <c r="C748" s="24" t="s">
        <v>824</v>
      </c>
      <c r="D748" s="24"/>
      <c r="E748" s="24"/>
      <c r="F748" s="42">
        <f>F749</f>
        <v>2225.1</v>
      </c>
    </row>
    <row r="749" spans="1:6" s="39" customFormat="1" ht="15" x14ac:dyDescent="0.2">
      <c r="A749" s="66" t="s">
        <v>674</v>
      </c>
      <c r="B749" s="24" t="s">
        <v>484</v>
      </c>
      <c r="C749" s="24" t="s">
        <v>824</v>
      </c>
      <c r="D749" s="24" t="s">
        <v>214</v>
      </c>
      <c r="E749" s="24"/>
      <c r="F749" s="42">
        <f>F750</f>
        <v>2225.1</v>
      </c>
    </row>
    <row r="750" spans="1:6" s="39" customFormat="1" ht="15" x14ac:dyDescent="0.2">
      <c r="A750" s="84" t="s">
        <v>322</v>
      </c>
      <c r="B750" s="30" t="s">
        <v>484</v>
      </c>
      <c r="C750" s="30" t="s">
        <v>824</v>
      </c>
      <c r="D750" s="30" t="s">
        <v>214</v>
      </c>
      <c r="E750" s="30" t="s">
        <v>226</v>
      </c>
      <c r="F750" s="41">
        <f>F751</f>
        <v>2225.1</v>
      </c>
    </row>
    <row r="751" spans="1:6" s="39" customFormat="1" ht="24" x14ac:dyDescent="0.2">
      <c r="A751" s="84" t="s">
        <v>227</v>
      </c>
      <c r="B751" s="30" t="s">
        <v>484</v>
      </c>
      <c r="C751" s="30" t="s">
        <v>824</v>
      </c>
      <c r="D751" s="30" t="s">
        <v>214</v>
      </c>
      <c r="E751" s="30" t="s">
        <v>228</v>
      </c>
      <c r="F751" s="41">
        <v>2225.1</v>
      </c>
    </row>
    <row r="752" spans="1:6" s="39" customFormat="1" ht="48" x14ac:dyDescent="0.2">
      <c r="A752" s="80" t="s">
        <v>150</v>
      </c>
      <c r="B752" s="24" t="s">
        <v>484</v>
      </c>
      <c r="C752" s="24"/>
      <c r="D752" s="24"/>
      <c r="E752" s="24"/>
      <c r="F752" s="42">
        <f>F753</f>
        <v>500</v>
      </c>
    </row>
    <row r="753" spans="1:6" s="39" customFormat="1" ht="15" x14ac:dyDescent="0.2">
      <c r="A753" s="61" t="s">
        <v>673</v>
      </c>
      <c r="B753" s="24" t="s">
        <v>484</v>
      </c>
      <c r="C753" s="24" t="s">
        <v>824</v>
      </c>
      <c r="D753" s="24"/>
      <c r="E753" s="24"/>
      <c r="F753" s="42">
        <f>F754</f>
        <v>500</v>
      </c>
    </row>
    <row r="754" spans="1:6" s="39" customFormat="1" ht="15" x14ac:dyDescent="0.2">
      <c r="A754" s="80" t="s">
        <v>449</v>
      </c>
      <c r="B754" s="24" t="s">
        <v>484</v>
      </c>
      <c r="C754" s="24" t="s">
        <v>824</v>
      </c>
      <c r="D754" s="24" t="s">
        <v>817</v>
      </c>
      <c r="E754" s="24"/>
      <c r="F754" s="42">
        <f>F755</f>
        <v>500</v>
      </c>
    </row>
    <row r="755" spans="1:6" s="39" customFormat="1" ht="15" x14ac:dyDescent="0.2">
      <c r="A755" s="84" t="s">
        <v>322</v>
      </c>
      <c r="B755" s="30" t="s">
        <v>484</v>
      </c>
      <c r="C755" s="30" t="s">
        <v>824</v>
      </c>
      <c r="D755" s="30" t="s">
        <v>817</v>
      </c>
      <c r="E755" s="30" t="s">
        <v>226</v>
      </c>
      <c r="F755" s="41">
        <f>F756</f>
        <v>500</v>
      </c>
    </row>
    <row r="756" spans="1:6" s="39" customFormat="1" ht="24" x14ac:dyDescent="0.2">
      <c r="A756" s="84" t="s">
        <v>227</v>
      </c>
      <c r="B756" s="30" t="s">
        <v>484</v>
      </c>
      <c r="C756" s="30" t="s">
        <v>824</v>
      </c>
      <c r="D756" s="30" t="s">
        <v>817</v>
      </c>
      <c r="E756" s="30" t="s">
        <v>228</v>
      </c>
      <c r="F756" s="41">
        <v>500</v>
      </c>
    </row>
    <row r="757" spans="1:6" s="39" customFormat="1" ht="68.25" customHeight="1" x14ac:dyDescent="0.2">
      <c r="A757" s="170" t="s">
        <v>639</v>
      </c>
      <c r="B757" s="53" t="s">
        <v>635</v>
      </c>
      <c r="C757" s="53" t="s">
        <v>731</v>
      </c>
      <c r="D757" s="53" t="s">
        <v>214</v>
      </c>
      <c r="E757" s="53"/>
      <c r="F757" s="57">
        <f>F758</f>
        <v>65994.8</v>
      </c>
    </row>
    <row r="758" spans="1:6" s="39" customFormat="1" ht="15" x14ac:dyDescent="0.2">
      <c r="A758" s="84" t="s">
        <v>394</v>
      </c>
      <c r="B758" s="30" t="s">
        <v>635</v>
      </c>
      <c r="C758" s="30" t="s">
        <v>731</v>
      </c>
      <c r="D758" s="30" t="s">
        <v>214</v>
      </c>
      <c r="E758" s="30" t="s">
        <v>733</v>
      </c>
      <c r="F758" s="41">
        <f>F759</f>
        <v>65994.8</v>
      </c>
    </row>
    <row r="759" spans="1:6" s="39" customFormat="1" ht="15" x14ac:dyDescent="0.2">
      <c r="A759" s="84" t="s">
        <v>734</v>
      </c>
      <c r="B759" s="30" t="s">
        <v>635</v>
      </c>
      <c r="C759" s="30" t="s">
        <v>731</v>
      </c>
      <c r="D759" s="30" t="s">
        <v>214</v>
      </c>
      <c r="E759" s="30" t="s">
        <v>735</v>
      </c>
      <c r="F759" s="41">
        <f>19798.44+46196.36</f>
        <v>65994.8</v>
      </c>
    </row>
    <row r="760" spans="1:6" s="39" customFormat="1" ht="54" x14ac:dyDescent="0.2">
      <c r="A760" s="86" t="s">
        <v>636</v>
      </c>
      <c r="B760" s="53" t="s">
        <v>637</v>
      </c>
      <c r="C760" s="53" t="s">
        <v>731</v>
      </c>
      <c r="D760" s="53" t="s">
        <v>214</v>
      </c>
      <c r="E760" s="53"/>
      <c r="F760" s="57">
        <f>F761</f>
        <v>3449.1507900000001</v>
      </c>
    </row>
    <row r="761" spans="1:6" s="39" customFormat="1" ht="15" x14ac:dyDescent="0.2">
      <c r="A761" s="84" t="s">
        <v>394</v>
      </c>
      <c r="B761" s="30" t="s">
        <v>637</v>
      </c>
      <c r="C761" s="30" t="s">
        <v>731</v>
      </c>
      <c r="D761" s="30" t="s">
        <v>214</v>
      </c>
      <c r="E761" s="30" t="s">
        <v>733</v>
      </c>
      <c r="F761" s="41">
        <f>F762</f>
        <v>3449.1507900000001</v>
      </c>
    </row>
    <row r="762" spans="1:6" s="39" customFormat="1" ht="15" x14ac:dyDescent="0.2">
      <c r="A762" s="84" t="s">
        <v>734</v>
      </c>
      <c r="B762" s="30" t="s">
        <v>637</v>
      </c>
      <c r="C762" s="30" t="s">
        <v>731</v>
      </c>
      <c r="D762" s="30" t="s">
        <v>214</v>
      </c>
      <c r="E762" s="30" t="s">
        <v>735</v>
      </c>
      <c r="F762" s="41">
        <f>700+2749.15079</f>
        <v>3449.1507900000001</v>
      </c>
    </row>
    <row r="763" spans="1:6" s="39" customFormat="1" ht="24" x14ac:dyDescent="0.2">
      <c r="A763" s="80" t="s">
        <v>613</v>
      </c>
      <c r="B763" s="24" t="s">
        <v>614</v>
      </c>
      <c r="C763" s="24"/>
      <c r="D763" s="24"/>
      <c r="E763" s="24"/>
      <c r="F763" s="42">
        <f>F764</f>
        <v>8000</v>
      </c>
    </row>
    <row r="764" spans="1:6" s="39" customFormat="1" ht="15" x14ac:dyDescent="0.2">
      <c r="A764" s="61" t="s">
        <v>667</v>
      </c>
      <c r="B764" s="24" t="s">
        <v>614</v>
      </c>
      <c r="C764" s="24" t="s">
        <v>731</v>
      </c>
      <c r="D764" s="24"/>
      <c r="E764" s="24"/>
      <c r="F764" s="42">
        <f>F765</f>
        <v>8000</v>
      </c>
    </row>
    <row r="765" spans="1:6" s="39" customFormat="1" ht="15" x14ac:dyDescent="0.2">
      <c r="A765" s="61" t="s">
        <v>668</v>
      </c>
      <c r="B765" s="24" t="s">
        <v>614</v>
      </c>
      <c r="C765" s="24" t="s">
        <v>731</v>
      </c>
      <c r="D765" s="24" t="s">
        <v>214</v>
      </c>
      <c r="E765" s="24"/>
      <c r="F765" s="42">
        <f>F766</f>
        <v>8000</v>
      </c>
    </row>
    <row r="766" spans="1:6" s="39" customFormat="1" ht="15" x14ac:dyDescent="0.2">
      <c r="A766" s="84" t="s">
        <v>394</v>
      </c>
      <c r="B766" s="30" t="s">
        <v>614</v>
      </c>
      <c r="C766" s="30" t="s">
        <v>731</v>
      </c>
      <c r="D766" s="30" t="s">
        <v>214</v>
      </c>
      <c r="E766" s="30" t="s">
        <v>733</v>
      </c>
      <c r="F766" s="41">
        <f>F767</f>
        <v>8000</v>
      </c>
    </row>
    <row r="767" spans="1:6" s="39" customFormat="1" ht="15" x14ac:dyDescent="0.2">
      <c r="A767" s="84" t="s">
        <v>734</v>
      </c>
      <c r="B767" s="30" t="s">
        <v>614</v>
      </c>
      <c r="C767" s="30" t="s">
        <v>731</v>
      </c>
      <c r="D767" s="30" t="s">
        <v>214</v>
      </c>
      <c r="E767" s="30" t="s">
        <v>735</v>
      </c>
      <c r="F767" s="41">
        <f>4700+3300</f>
        <v>8000</v>
      </c>
    </row>
    <row r="768" spans="1:6" s="8" customFormat="1" ht="27" x14ac:dyDescent="0.2">
      <c r="A768" s="152" t="s">
        <v>85</v>
      </c>
      <c r="B768" s="154" t="s">
        <v>175</v>
      </c>
      <c r="C768" s="154"/>
      <c r="D768" s="154"/>
      <c r="E768" s="154"/>
      <c r="F768" s="156">
        <f>F769++F775+F781+F788</f>
        <v>40163.599999999999</v>
      </c>
    </row>
    <row r="769" spans="1:6" s="8" customFormat="1" x14ac:dyDescent="0.2">
      <c r="A769" s="75" t="s">
        <v>178</v>
      </c>
      <c r="B769" s="24" t="s">
        <v>179</v>
      </c>
      <c r="C769" s="24"/>
      <c r="D769" s="24"/>
      <c r="E769" s="24"/>
      <c r="F769" s="42">
        <f>F770</f>
        <v>3000</v>
      </c>
    </row>
    <row r="770" spans="1:6" s="8" customFormat="1" ht="24" x14ac:dyDescent="0.2">
      <c r="A770" s="80" t="s">
        <v>561</v>
      </c>
      <c r="B770" s="24" t="s">
        <v>86</v>
      </c>
      <c r="C770" s="24"/>
      <c r="D770" s="24"/>
      <c r="E770" s="24"/>
      <c r="F770" s="42">
        <f>F771</f>
        <v>3000</v>
      </c>
    </row>
    <row r="771" spans="1:6" s="8" customFormat="1" x14ac:dyDescent="0.2">
      <c r="A771" s="61" t="s">
        <v>673</v>
      </c>
      <c r="B771" s="24" t="s">
        <v>86</v>
      </c>
      <c r="C771" s="24" t="s">
        <v>824</v>
      </c>
      <c r="D771" s="24"/>
      <c r="E771" s="25"/>
      <c r="F771" s="42">
        <f>F772</f>
        <v>3000</v>
      </c>
    </row>
    <row r="772" spans="1:6" s="8" customFormat="1" x14ac:dyDescent="0.2">
      <c r="A772" s="61" t="s">
        <v>676</v>
      </c>
      <c r="B772" s="24" t="s">
        <v>86</v>
      </c>
      <c r="C772" s="24" t="s">
        <v>824</v>
      </c>
      <c r="D772" s="24" t="s">
        <v>824</v>
      </c>
      <c r="E772" s="25"/>
      <c r="F772" s="42">
        <f>F773</f>
        <v>3000</v>
      </c>
    </row>
    <row r="773" spans="1:6" s="8" customFormat="1" x14ac:dyDescent="0.2">
      <c r="A773" s="84" t="s">
        <v>473</v>
      </c>
      <c r="B773" s="30" t="s">
        <v>86</v>
      </c>
      <c r="C773" s="30" t="s">
        <v>824</v>
      </c>
      <c r="D773" s="30" t="s">
        <v>824</v>
      </c>
      <c r="E773" s="30" t="s">
        <v>226</v>
      </c>
      <c r="F773" s="41">
        <f>F774</f>
        <v>3000</v>
      </c>
    </row>
    <row r="774" spans="1:6" s="8" customFormat="1" ht="24" x14ac:dyDescent="0.2">
      <c r="A774" s="84" t="s">
        <v>227</v>
      </c>
      <c r="B774" s="30" t="s">
        <v>86</v>
      </c>
      <c r="C774" s="30" t="s">
        <v>824</v>
      </c>
      <c r="D774" s="30" t="s">
        <v>824</v>
      </c>
      <c r="E774" s="30" t="s">
        <v>228</v>
      </c>
      <c r="F774" s="41">
        <v>3000</v>
      </c>
    </row>
    <row r="775" spans="1:6" s="8" customFormat="1" ht="24" x14ac:dyDescent="0.2">
      <c r="A775" s="80" t="s">
        <v>202</v>
      </c>
      <c r="B775" s="24" t="s">
        <v>204</v>
      </c>
      <c r="C775" s="24"/>
      <c r="D775" s="24"/>
      <c r="E775" s="46"/>
      <c r="F775" s="42">
        <f>F776</f>
        <v>4000</v>
      </c>
    </row>
    <row r="776" spans="1:6" s="8" customFormat="1" ht="24" x14ac:dyDescent="0.2">
      <c r="A776" s="80" t="s">
        <v>562</v>
      </c>
      <c r="B776" s="24" t="s">
        <v>89</v>
      </c>
      <c r="C776" s="24"/>
      <c r="D776" s="24"/>
      <c r="E776" s="24"/>
      <c r="F776" s="42">
        <f>F777</f>
        <v>4000</v>
      </c>
    </row>
    <row r="777" spans="1:6" s="8" customFormat="1" x14ac:dyDescent="0.2">
      <c r="A777" s="80" t="s">
        <v>691</v>
      </c>
      <c r="B777" s="24" t="s">
        <v>89</v>
      </c>
      <c r="C777" s="24" t="s">
        <v>232</v>
      </c>
      <c r="D777" s="24"/>
      <c r="E777" s="25"/>
      <c r="F777" s="42">
        <f>F778</f>
        <v>4000</v>
      </c>
    </row>
    <row r="778" spans="1:6" s="8" customFormat="1" x14ac:dyDescent="0.2">
      <c r="A778" s="80" t="s">
        <v>201</v>
      </c>
      <c r="B778" s="24" t="s">
        <v>89</v>
      </c>
      <c r="C778" s="24" t="s">
        <v>232</v>
      </c>
      <c r="D778" s="24" t="s">
        <v>214</v>
      </c>
      <c r="E778" s="25"/>
      <c r="F778" s="42">
        <f>F779</f>
        <v>4000</v>
      </c>
    </row>
    <row r="779" spans="1:6" s="8" customFormat="1" x14ac:dyDescent="0.2">
      <c r="A779" s="84" t="s">
        <v>473</v>
      </c>
      <c r="B779" s="30" t="s">
        <v>89</v>
      </c>
      <c r="C779" s="30" t="s">
        <v>232</v>
      </c>
      <c r="D779" s="30" t="s">
        <v>214</v>
      </c>
      <c r="E779" s="30" t="s">
        <v>226</v>
      </c>
      <c r="F779" s="41">
        <f>F780</f>
        <v>4000</v>
      </c>
    </row>
    <row r="780" spans="1:6" s="8" customFormat="1" ht="24" x14ac:dyDescent="0.2">
      <c r="A780" s="84" t="s">
        <v>227</v>
      </c>
      <c r="B780" s="30" t="s">
        <v>89</v>
      </c>
      <c r="C780" s="30" t="s">
        <v>232</v>
      </c>
      <c r="D780" s="30" t="s">
        <v>214</v>
      </c>
      <c r="E780" s="30" t="s">
        <v>228</v>
      </c>
      <c r="F780" s="41">
        <v>4000</v>
      </c>
    </row>
    <row r="781" spans="1:6" s="8" customFormat="1" ht="25.5" x14ac:dyDescent="0.2">
      <c r="A781" s="68" t="s">
        <v>174</v>
      </c>
      <c r="B781" s="24" t="s">
        <v>176</v>
      </c>
      <c r="C781" s="24"/>
      <c r="D781" s="24"/>
      <c r="E781" s="24"/>
      <c r="F781" s="42">
        <f t="shared" ref="F781:F786" si="1">F782</f>
        <v>29443.599999999999</v>
      </c>
    </row>
    <row r="782" spans="1:6" s="8" customFormat="1" ht="25.5" x14ac:dyDescent="0.2">
      <c r="A782" s="68" t="s">
        <v>177</v>
      </c>
      <c r="B782" s="24" t="s">
        <v>87</v>
      </c>
      <c r="C782" s="24"/>
      <c r="D782" s="24"/>
      <c r="E782" s="24"/>
      <c r="F782" s="42">
        <f t="shared" si="1"/>
        <v>29443.599999999999</v>
      </c>
    </row>
    <row r="783" spans="1:6" s="8" customFormat="1" x14ac:dyDescent="0.2">
      <c r="A783" s="61" t="s">
        <v>673</v>
      </c>
      <c r="B783" s="24" t="s">
        <v>87</v>
      </c>
      <c r="C783" s="24" t="s">
        <v>824</v>
      </c>
      <c r="D783" s="24"/>
      <c r="E783" s="24"/>
      <c r="F783" s="42">
        <f t="shared" si="1"/>
        <v>29443.599999999999</v>
      </c>
    </row>
    <row r="784" spans="1:6" s="8" customFormat="1" x14ac:dyDescent="0.2">
      <c r="A784" s="80" t="s">
        <v>449</v>
      </c>
      <c r="B784" s="24" t="s">
        <v>87</v>
      </c>
      <c r="C784" s="24" t="s">
        <v>824</v>
      </c>
      <c r="D784" s="24" t="s">
        <v>817</v>
      </c>
      <c r="E784" s="24"/>
      <c r="F784" s="42">
        <f t="shared" si="1"/>
        <v>29443.599999999999</v>
      </c>
    </row>
    <row r="785" spans="1:6" s="8" customFormat="1" ht="24" x14ac:dyDescent="0.2">
      <c r="A785" s="105" t="s">
        <v>494</v>
      </c>
      <c r="B785" s="33" t="s">
        <v>87</v>
      </c>
      <c r="C785" s="33" t="s">
        <v>824</v>
      </c>
      <c r="D785" s="33" t="s">
        <v>817</v>
      </c>
      <c r="E785" s="33"/>
      <c r="F785" s="101">
        <f t="shared" si="1"/>
        <v>29443.599999999999</v>
      </c>
    </row>
    <row r="786" spans="1:6" s="8" customFormat="1" ht="24" x14ac:dyDescent="0.2">
      <c r="A786" s="84" t="s">
        <v>246</v>
      </c>
      <c r="B786" s="30" t="s">
        <v>87</v>
      </c>
      <c r="C786" s="30" t="s">
        <v>824</v>
      </c>
      <c r="D786" s="30" t="s">
        <v>817</v>
      </c>
      <c r="E786" s="30" t="s">
        <v>702</v>
      </c>
      <c r="F786" s="41">
        <f t="shared" si="1"/>
        <v>29443.599999999999</v>
      </c>
    </row>
    <row r="787" spans="1:6" s="8" customFormat="1" x14ac:dyDescent="0.2">
      <c r="A787" s="84" t="s">
        <v>108</v>
      </c>
      <c r="B787" s="30" t="s">
        <v>87</v>
      </c>
      <c r="C787" s="30" t="s">
        <v>824</v>
      </c>
      <c r="D787" s="30" t="s">
        <v>817</v>
      </c>
      <c r="E787" s="30" t="s">
        <v>109</v>
      </c>
      <c r="F787" s="41">
        <v>29443.599999999999</v>
      </c>
    </row>
    <row r="788" spans="1:6" s="8" customFormat="1" ht="13.5" customHeight="1" x14ac:dyDescent="0.2">
      <c r="A788" s="80" t="s">
        <v>205</v>
      </c>
      <c r="B788" s="24" t="s">
        <v>206</v>
      </c>
      <c r="C788" s="24"/>
      <c r="D788" s="24"/>
      <c r="E788" s="24"/>
      <c r="F788" s="42">
        <f>F789</f>
        <v>3720</v>
      </c>
    </row>
    <row r="789" spans="1:6" s="8" customFormat="1" ht="36" x14ac:dyDescent="0.2">
      <c r="A789" s="80" t="s">
        <v>501</v>
      </c>
      <c r="B789" s="24" t="s">
        <v>206</v>
      </c>
      <c r="C789" s="24"/>
      <c r="D789" s="24"/>
      <c r="E789" s="24"/>
      <c r="F789" s="42">
        <f>F790+F795</f>
        <v>3720</v>
      </c>
    </row>
    <row r="790" spans="1:6" s="8" customFormat="1" x14ac:dyDescent="0.2">
      <c r="A790" s="80" t="s">
        <v>691</v>
      </c>
      <c r="B790" s="24" t="s">
        <v>207</v>
      </c>
      <c r="C790" s="24"/>
      <c r="D790" s="24"/>
      <c r="E790" s="24"/>
      <c r="F790" s="42">
        <f>F791</f>
        <v>3635</v>
      </c>
    </row>
    <row r="791" spans="1:6" s="8" customFormat="1" x14ac:dyDescent="0.2">
      <c r="A791" s="82" t="s">
        <v>355</v>
      </c>
      <c r="B791" s="24" t="s">
        <v>207</v>
      </c>
      <c r="C791" s="24" t="s">
        <v>232</v>
      </c>
      <c r="D791" s="24"/>
      <c r="E791" s="24"/>
      <c r="F791" s="42">
        <f>F792</f>
        <v>3635</v>
      </c>
    </row>
    <row r="792" spans="1:6" s="8" customFormat="1" x14ac:dyDescent="0.2">
      <c r="A792" s="81" t="s">
        <v>475</v>
      </c>
      <c r="B792" s="25" t="s">
        <v>207</v>
      </c>
      <c r="C792" s="24" t="s">
        <v>232</v>
      </c>
      <c r="D792" s="24" t="s">
        <v>731</v>
      </c>
      <c r="E792" s="25"/>
      <c r="F792" s="45">
        <f>F793</f>
        <v>3635</v>
      </c>
    </row>
    <row r="793" spans="1:6" s="8" customFormat="1" ht="36" x14ac:dyDescent="0.2">
      <c r="A793" s="84" t="s">
        <v>217</v>
      </c>
      <c r="B793" s="30" t="s">
        <v>207</v>
      </c>
      <c r="C793" s="30" t="s">
        <v>232</v>
      </c>
      <c r="D793" s="30" t="s">
        <v>731</v>
      </c>
      <c r="E793" s="30" t="s">
        <v>218</v>
      </c>
      <c r="F793" s="41">
        <f>F794</f>
        <v>3635</v>
      </c>
    </row>
    <row r="794" spans="1:6" s="8" customFormat="1" x14ac:dyDescent="0.2">
      <c r="A794" s="84" t="s">
        <v>219</v>
      </c>
      <c r="B794" s="30" t="s">
        <v>207</v>
      </c>
      <c r="C794" s="30" t="s">
        <v>232</v>
      </c>
      <c r="D794" s="30" t="s">
        <v>731</v>
      </c>
      <c r="E794" s="30" t="s">
        <v>224</v>
      </c>
      <c r="F794" s="41">
        <f>2740+70+825</f>
        <v>3635</v>
      </c>
    </row>
    <row r="795" spans="1:6" s="8" customFormat="1" x14ac:dyDescent="0.2">
      <c r="A795" s="80" t="s">
        <v>225</v>
      </c>
      <c r="B795" s="24" t="s">
        <v>208</v>
      </c>
      <c r="C795" s="24"/>
      <c r="D795" s="24"/>
      <c r="E795" s="24"/>
      <c r="F795" s="42">
        <f>F796</f>
        <v>85</v>
      </c>
    </row>
    <row r="796" spans="1:6" s="8" customFormat="1" x14ac:dyDescent="0.2">
      <c r="A796" s="80" t="s">
        <v>691</v>
      </c>
      <c r="B796" s="24" t="s">
        <v>208</v>
      </c>
      <c r="C796" s="24" t="s">
        <v>232</v>
      </c>
      <c r="D796" s="24"/>
      <c r="E796" s="24"/>
      <c r="F796" s="42">
        <f>F797</f>
        <v>85</v>
      </c>
    </row>
    <row r="797" spans="1:6" s="8" customFormat="1" x14ac:dyDescent="0.2">
      <c r="A797" s="82" t="s">
        <v>355</v>
      </c>
      <c r="B797" s="24" t="s">
        <v>208</v>
      </c>
      <c r="C797" s="24" t="s">
        <v>232</v>
      </c>
      <c r="D797" s="24" t="s">
        <v>731</v>
      </c>
      <c r="E797" s="24"/>
      <c r="F797" s="42">
        <f>F798+F800</f>
        <v>85</v>
      </c>
    </row>
    <row r="798" spans="1:6" s="8" customFormat="1" x14ac:dyDescent="0.2">
      <c r="A798" s="84" t="s">
        <v>473</v>
      </c>
      <c r="B798" s="30" t="s">
        <v>208</v>
      </c>
      <c r="C798" s="30" t="s">
        <v>232</v>
      </c>
      <c r="D798" s="30" t="s">
        <v>731</v>
      </c>
      <c r="E798" s="30" t="s">
        <v>226</v>
      </c>
      <c r="F798" s="41">
        <f>F799</f>
        <v>75</v>
      </c>
    </row>
    <row r="799" spans="1:6" s="8" customFormat="1" ht="24" x14ac:dyDescent="0.2">
      <c r="A799" s="84" t="s">
        <v>227</v>
      </c>
      <c r="B799" s="30" t="s">
        <v>208</v>
      </c>
      <c r="C799" s="30" t="s">
        <v>232</v>
      </c>
      <c r="D799" s="30" t="s">
        <v>731</v>
      </c>
      <c r="E799" s="30" t="s">
        <v>228</v>
      </c>
      <c r="F799" s="41">
        <v>75</v>
      </c>
    </row>
    <row r="800" spans="1:6" s="8" customFormat="1" x14ac:dyDescent="0.2">
      <c r="A800" s="84" t="s">
        <v>229</v>
      </c>
      <c r="B800" s="30" t="s">
        <v>208</v>
      </c>
      <c r="C800" s="30" t="s">
        <v>232</v>
      </c>
      <c r="D800" s="30" t="s">
        <v>731</v>
      </c>
      <c r="E800" s="30" t="s">
        <v>230</v>
      </c>
      <c r="F800" s="41">
        <f>F801</f>
        <v>10</v>
      </c>
    </row>
    <row r="801" spans="1:6" s="8" customFormat="1" x14ac:dyDescent="0.2">
      <c r="A801" s="84" t="s">
        <v>106</v>
      </c>
      <c r="B801" s="30" t="s">
        <v>208</v>
      </c>
      <c r="C801" s="30" t="s">
        <v>232</v>
      </c>
      <c r="D801" s="30" t="s">
        <v>731</v>
      </c>
      <c r="E801" s="30" t="s">
        <v>231</v>
      </c>
      <c r="F801" s="41">
        <v>10</v>
      </c>
    </row>
    <row r="802" spans="1:6" s="8" customFormat="1" ht="27" x14ac:dyDescent="0.2">
      <c r="A802" s="152" t="s">
        <v>196</v>
      </c>
      <c r="B802" s="154" t="s">
        <v>245</v>
      </c>
      <c r="C802" s="154"/>
      <c r="D802" s="154"/>
      <c r="E802" s="154"/>
      <c r="F802" s="156">
        <f t="shared" ref="F802:F807" si="2">F803</f>
        <v>800</v>
      </c>
    </row>
    <row r="803" spans="1:6" s="8" customFormat="1" x14ac:dyDescent="0.2">
      <c r="A803" s="61" t="s">
        <v>43</v>
      </c>
      <c r="B803" s="24" t="s">
        <v>46</v>
      </c>
      <c r="C803" s="24"/>
      <c r="D803" s="24"/>
      <c r="E803" s="24"/>
      <c r="F803" s="42">
        <f t="shared" si="2"/>
        <v>800</v>
      </c>
    </row>
    <row r="804" spans="1:6" s="8" customFormat="1" ht="15" customHeight="1" x14ac:dyDescent="0.2">
      <c r="A804" s="61" t="s">
        <v>44</v>
      </c>
      <c r="B804" s="24" t="s">
        <v>45</v>
      </c>
      <c r="C804" s="24"/>
      <c r="D804" s="24"/>
      <c r="E804" s="24"/>
      <c r="F804" s="42">
        <f t="shared" si="2"/>
        <v>800</v>
      </c>
    </row>
    <row r="805" spans="1:6" s="8" customFormat="1" x14ac:dyDescent="0.2">
      <c r="A805" s="75" t="s">
        <v>256</v>
      </c>
      <c r="B805" s="43" t="s">
        <v>194</v>
      </c>
      <c r="C805" s="24" t="s">
        <v>214</v>
      </c>
      <c r="D805" s="24"/>
      <c r="E805" s="25"/>
      <c r="F805" s="42">
        <f t="shared" si="2"/>
        <v>800</v>
      </c>
    </row>
    <row r="806" spans="1:6" s="8" customFormat="1" x14ac:dyDescent="0.2">
      <c r="A806" s="75" t="s">
        <v>726</v>
      </c>
      <c r="B806" s="43" t="s">
        <v>194</v>
      </c>
      <c r="C806" s="24" t="s">
        <v>214</v>
      </c>
      <c r="D806" s="24" t="s">
        <v>235</v>
      </c>
      <c r="E806" s="25"/>
      <c r="F806" s="42">
        <f t="shared" si="2"/>
        <v>800</v>
      </c>
    </row>
    <row r="807" spans="1:6" s="8" customFormat="1" ht="36" x14ac:dyDescent="0.2">
      <c r="A807" s="84" t="s">
        <v>217</v>
      </c>
      <c r="B807" s="30" t="s">
        <v>45</v>
      </c>
      <c r="C807" s="30" t="s">
        <v>214</v>
      </c>
      <c r="D807" s="30" t="s">
        <v>235</v>
      </c>
      <c r="E807" s="30" t="s">
        <v>218</v>
      </c>
      <c r="F807" s="41">
        <f t="shared" si="2"/>
        <v>800</v>
      </c>
    </row>
    <row r="808" spans="1:6" s="8" customFormat="1" x14ac:dyDescent="0.2">
      <c r="A808" s="84" t="s">
        <v>219</v>
      </c>
      <c r="B808" s="30" t="s">
        <v>45</v>
      </c>
      <c r="C808" s="30" t="s">
        <v>214</v>
      </c>
      <c r="D808" s="30" t="s">
        <v>235</v>
      </c>
      <c r="E808" s="30" t="s">
        <v>224</v>
      </c>
      <c r="F808" s="41">
        <v>800</v>
      </c>
    </row>
    <row r="809" spans="1:6" s="8" customFormat="1" ht="27" x14ac:dyDescent="0.2">
      <c r="A809" s="152" t="s">
        <v>13</v>
      </c>
      <c r="B809" s="157" t="s">
        <v>14</v>
      </c>
      <c r="C809" s="154"/>
      <c r="D809" s="154"/>
      <c r="E809" s="154"/>
      <c r="F809" s="162">
        <f>F810+F815+F820</f>
        <v>170633.54</v>
      </c>
    </row>
    <row r="810" spans="1:6" s="8" customFormat="1" x14ac:dyDescent="0.2">
      <c r="A810" s="80" t="s">
        <v>345</v>
      </c>
      <c r="B810" s="43" t="s">
        <v>320</v>
      </c>
      <c r="C810" s="30"/>
      <c r="D810" s="30"/>
      <c r="E810" s="180"/>
      <c r="F810" s="169">
        <f>F811</f>
        <v>159511.54</v>
      </c>
    </row>
    <row r="811" spans="1:6" s="8" customFormat="1" x14ac:dyDescent="0.2">
      <c r="A811" s="61" t="s">
        <v>667</v>
      </c>
      <c r="B811" s="43" t="s">
        <v>320</v>
      </c>
      <c r="C811" s="24" t="s">
        <v>731</v>
      </c>
      <c r="D811" s="24"/>
      <c r="E811" s="180"/>
      <c r="F811" s="169">
        <f>F812</f>
        <v>159511.54</v>
      </c>
    </row>
    <row r="812" spans="1:6" s="8" customFormat="1" x14ac:dyDescent="0.2">
      <c r="A812" s="61" t="s">
        <v>671</v>
      </c>
      <c r="B812" s="43" t="s">
        <v>320</v>
      </c>
      <c r="C812" s="24" t="s">
        <v>731</v>
      </c>
      <c r="D812" s="24" t="s">
        <v>817</v>
      </c>
      <c r="E812" s="180"/>
      <c r="F812" s="169">
        <f>F813</f>
        <v>159511.54</v>
      </c>
    </row>
    <row r="813" spans="1:6" s="8" customFormat="1" x14ac:dyDescent="0.2">
      <c r="A813" s="84" t="s">
        <v>473</v>
      </c>
      <c r="B813" s="40" t="s">
        <v>320</v>
      </c>
      <c r="C813" s="30" t="s">
        <v>731</v>
      </c>
      <c r="D813" s="30" t="s">
        <v>817</v>
      </c>
      <c r="E813" s="180" t="s">
        <v>226</v>
      </c>
      <c r="F813" s="181">
        <f>F814</f>
        <v>159511.54</v>
      </c>
    </row>
    <row r="814" spans="1:6" s="8" customFormat="1" ht="24" x14ac:dyDescent="0.2">
      <c r="A814" s="84" t="s">
        <v>227</v>
      </c>
      <c r="B814" s="40" t="s">
        <v>320</v>
      </c>
      <c r="C814" s="30" t="s">
        <v>731</v>
      </c>
      <c r="D814" s="30" t="s">
        <v>817</v>
      </c>
      <c r="E814" s="180" t="s">
        <v>228</v>
      </c>
      <c r="F814" s="181">
        <f>158816+695.54</f>
        <v>159511.54</v>
      </c>
    </row>
    <row r="815" spans="1:6" s="8" customFormat="1" ht="24" x14ac:dyDescent="0.2">
      <c r="A815" s="80" t="s">
        <v>167</v>
      </c>
      <c r="B815" s="43" t="s">
        <v>321</v>
      </c>
      <c r="C815" s="30"/>
      <c r="D815" s="30"/>
      <c r="E815" s="30"/>
      <c r="F815" s="117">
        <f>F816</f>
        <v>0</v>
      </c>
    </row>
    <row r="816" spans="1:6" s="8" customFormat="1" x14ac:dyDescent="0.2">
      <c r="A816" s="61" t="s">
        <v>667</v>
      </c>
      <c r="B816" s="43" t="s">
        <v>321</v>
      </c>
      <c r="C816" s="24" t="s">
        <v>731</v>
      </c>
      <c r="D816" s="24"/>
      <c r="E816" s="24"/>
      <c r="F816" s="117">
        <f>F817</f>
        <v>0</v>
      </c>
    </row>
    <row r="817" spans="1:6" s="8" customFormat="1" x14ac:dyDescent="0.2">
      <c r="A817" s="61" t="s">
        <v>671</v>
      </c>
      <c r="B817" s="43" t="s">
        <v>321</v>
      </c>
      <c r="C817" s="24" t="s">
        <v>731</v>
      </c>
      <c r="D817" s="24" t="s">
        <v>817</v>
      </c>
      <c r="E817" s="24"/>
      <c r="F817" s="117">
        <f>F818</f>
        <v>0</v>
      </c>
    </row>
    <row r="818" spans="1:6" s="8" customFormat="1" x14ac:dyDescent="0.2">
      <c r="A818" s="84" t="s">
        <v>473</v>
      </c>
      <c r="B818" s="40" t="s">
        <v>321</v>
      </c>
      <c r="C818" s="30" t="s">
        <v>731</v>
      </c>
      <c r="D818" s="30" t="s">
        <v>817</v>
      </c>
      <c r="E818" s="30" t="s">
        <v>226</v>
      </c>
      <c r="F818" s="118">
        <f>F819</f>
        <v>0</v>
      </c>
    </row>
    <row r="819" spans="1:6" s="8" customFormat="1" ht="24" x14ac:dyDescent="0.2">
      <c r="A819" s="84" t="s">
        <v>227</v>
      </c>
      <c r="B819" s="40" t="s">
        <v>321</v>
      </c>
      <c r="C819" s="30" t="s">
        <v>731</v>
      </c>
      <c r="D819" s="30" t="s">
        <v>817</v>
      </c>
      <c r="E819" s="30" t="s">
        <v>228</v>
      </c>
      <c r="F819" s="118">
        <f>7000+4122-11122</f>
        <v>0</v>
      </c>
    </row>
    <row r="820" spans="1:6" s="8" customFormat="1" ht="24" x14ac:dyDescent="0.2">
      <c r="A820" s="80" t="s">
        <v>167</v>
      </c>
      <c r="B820" s="43" t="s">
        <v>88</v>
      </c>
      <c r="C820" s="30"/>
      <c r="D820" s="30"/>
      <c r="E820" s="30"/>
      <c r="F820" s="117">
        <f>F821</f>
        <v>11122</v>
      </c>
    </row>
    <row r="821" spans="1:6" s="8" customFormat="1" x14ac:dyDescent="0.2">
      <c r="A821" s="61" t="s">
        <v>667</v>
      </c>
      <c r="B821" s="43" t="s">
        <v>88</v>
      </c>
      <c r="C821" s="24" t="s">
        <v>731</v>
      </c>
      <c r="D821" s="24"/>
      <c r="E821" s="24"/>
      <c r="F821" s="117">
        <f>F822</f>
        <v>11122</v>
      </c>
    </row>
    <row r="822" spans="1:6" s="8" customFormat="1" x14ac:dyDescent="0.2">
      <c r="A822" s="61" t="s">
        <v>671</v>
      </c>
      <c r="B822" s="43" t="s">
        <v>88</v>
      </c>
      <c r="C822" s="24" t="s">
        <v>731</v>
      </c>
      <c r="D822" s="24" t="s">
        <v>817</v>
      </c>
      <c r="E822" s="24"/>
      <c r="F822" s="117">
        <f>F823</f>
        <v>11122</v>
      </c>
    </row>
    <row r="823" spans="1:6" s="8" customFormat="1" x14ac:dyDescent="0.2">
      <c r="A823" s="84" t="s">
        <v>473</v>
      </c>
      <c r="B823" s="40" t="s">
        <v>88</v>
      </c>
      <c r="C823" s="30" t="s">
        <v>731</v>
      </c>
      <c r="D823" s="30" t="s">
        <v>817</v>
      </c>
      <c r="E823" s="30" t="s">
        <v>226</v>
      </c>
      <c r="F823" s="118">
        <f>F824</f>
        <v>11122</v>
      </c>
    </row>
    <row r="824" spans="1:6" s="8" customFormat="1" ht="24" x14ac:dyDescent="0.2">
      <c r="A824" s="84" t="s">
        <v>227</v>
      </c>
      <c r="B824" s="40" t="s">
        <v>88</v>
      </c>
      <c r="C824" s="30" t="s">
        <v>731</v>
      </c>
      <c r="D824" s="30" t="s">
        <v>817</v>
      </c>
      <c r="E824" s="30" t="s">
        <v>228</v>
      </c>
      <c r="F824" s="118">
        <f>7000+4122</f>
        <v>11122</v>
      </c>
    </row>
    <row r="825" spans="1:6" s="51" customFormat="1" x14ac:dyDescent="0.2">
      <c r="A825" s="108" t="s">
        <v>715</v>
      </c>
      <c r="B825" s="109"/>
      <c r="C825" s="109"/>
      <c r="D825" s="109"/>
      <c r="E825" s="109"/>
      <c r="F825" s="107">
        <f>F826+F831+F842+F847+F860+F873+F886</f>
        <v>189535.61629000001</v>
      </c>
    </row>
    <row r="826" spans="1:6" s="51" customFormat="1" ht="13.5" x14ac:dyDescent="0.2">
      <c r="A826" s="165" t="s">
        <v>318</v>
      </c>
      <c r="B826" s="154" t="s">
        <v>388</v>
      </c>
      <c r="C826" s="154"/>
      <c r="D826" s="154"/>
      <c r="E826" s="154"/>
      <c r="F826" s="156">
        <f>F827</f>
        <v>1946</v>
      </c>
    </row>
    <row r="827" spans="1:6" s="51" customFormat="1" x14ac:dyDescent="0.2">
      <c r="A827" s="63" t="s">
        <v>142</v>
      </c>
      <c r="B827" s="24" t="s">
        <v>390</v>
      </c>
      <c r="C827" s="24"/>
      <c r="D827" s="24"/>
      <c r="E827" s="30"/>
      <c r="F827" s="42">
        <f>F828</f>
        <v>1946</v>
      </c>
    </row>
    <row r="828" spans="1:6" s="51" customFormat="1" x14ac:dyDescent="0.2">
      <c r="A828" s="61" t="s">
        <v>256</v>
      </c>
      <c r="B828" s="24" t="s">
        <v>392</v>
      </c>
      <c r="C828" s="24" t="s">
        <v>214</v>
      </c>
      <c r="D828" s="24"/>
      <c r="E828" s="24"/>
      <c r="F828" s="42">
        <f>F829</f>
        <v>1946</v>
      </c>
    </row>
    <row r="829" spans="1:6" s="51" customFormat="1" ht="36" x14ac:dyDescent="0.2">
      <c r="A829" s="64" t="s">
        <v>217</v>
      </c>
      <c r="B829" s="30" t="s">
        <v>392</v>
      </c>
      <c r="C829" s="30" t="s">
        <v>214</v>
      </c>
      <c r="D829" s="30" t="s">
        <v>825</v>
      </c>
      <c r="E829" s="30" t="s">
        <v>218</v>
      </c>
      <c r="F829" s="41">
        <f>F830</f>
        <v>1946</v>
      </c>
    </row>
    <row r="830" spans="1:6" s="51" customFormat="1" x14ac:dyDescent="0.2">
      <c r="A830" s="64" t="s">
        <v>219</v>
      </c>
      <c r="B830" s="30" t="s">
        <v>392</v>
      </c>
      <c r="C830" s="30" t="s">
        <v>214</v>
      </c>
      <c r="D830" s="30" t="s">
        <v>825</v>
      </c>
      <c r="E830" s="30" t="s">
        <v>224</v>
      </c>
      <c r="F830" s="41">
        <v>1946</v>
      </c>
    </row>
    <row r="831" spans="1:6" s="51" customFormat="1" ht="13.5" x14ac:dyDescent="0.2">
      <c r="A831" s="165" t="s">
        <v>710</v>
      </c>
      <c r="B831" s="155" t="s">
        <v>393</v>
      </c>
      <c r="C831" s="154"/>
      <c r="D831" s="154"/>
      <c r="E831" s="155"/>
      <c r="F831" s="156">
        <f>F832+F836</f>
        <v>22847</v>
      </c>
    </row>
    <row r="832" spans="1:6" s="51" customFormat="1" x14ac:dyDescent="0.2">
      <c r="A832" s="63" t="s">
        <v>142</v>
      </c>
      <c r="B832" s="24" t="s">
        <v>287</v>
      </c>
      <c r="C832" s="24"/>
      <c r="D832" s="24"/>
      <c r="E832" s="30"/>
      <c r="F832" s="42">
        <f>F833</f>
        <v>18867</v>
      </c>
    </row>
    <row r="833" spans="1:6" s="51" customFormat="1" x14ac:dyDescent="0.2">
      <c r="A833" s="61" t="s">
        <v>256</v>
      </c>
      <c r="B833" s="24" t="s">
        <v>397</v>
      </c>
      <c r="C833" s="24" t="s">
        <v>214</v>
      </c>
      <c r="D833" s="25"/>
      <c r="E833" s="67"/>
      <c r="F833" s="45">
        <f>F834</f>
        <v>18867</v>
      </c>
    </row>
    <row r="834" spans="1:6" s="51" customFormat="1" ht="36" x14ac:dyDescent="0.2">
      <c r="A834" s="64" t="s">
        <v>217</v>
      </c>
      <c r="B834" s="30" t="s">
        <v>397</v>
      </c>
      <c r="C834" s="30" t="s">
        <v>214</v>
      </c>
      <c r="D834" s="30" t="s">
        <v>817</v>
      </c>
      <c r="E834" s="30" t="s">
        <v>218</v>
      </c>
      <c r="F834" s="41">
        <f>F835</f>
        <v>18867</v>
      </c>
    </row>
    <row r="835" spans="1:6" s="51" customFormat="1" x14ac:dyDescent="0.2">
      <c r="A835" s="64" t="s">
        <v>219</v>
      </c>
      <c r="B835" s="30" t="s">
        <v>397</v>
      </c>
      <c r="C835" s="30" t="s">
        <v>214</v>
      </c>
      <c r="D835" s="30" t="s">
        <v>817</v>
      </c>
      <c r="E835" s="30" t="s">
        <v>224</v>
      </c>
      <c r="F835" s="41">
        <f>14008+700+4359-200</f>
        <v>18867</v>
      </c>
    </row>
    <row r="836" spans="1:6" s="51" customFormat="1" x14ac:dyDescent="0.2">
      <c r="A836" s="61" t="s">
        <v>298</v>
      </c>
      <c r="B836" s="24" t="s">
        <v>287</v>
      </c>
      <c r="C836" s="24"/>
      <c r="D836" s="24"/>
      <c r="E836" s="30"/>
      <c r="F836" s="42">
        <f>F837</f>
        <v>3980</v>
      </c>
    </row>
    <row r="837" spans="1:6" s="48" customFormat="1" x14ac:dyDescent="0.2">
      <c r="A837" s="61" t="s">
        <v>256</v>
      </c>
      <c r="B837" s="24" t="s">
        <v>398</v>
      </c>
      <c r="C837" s="24" t="s">
        <v>214</v>
      </c>
      <c r="D837" s="24"/>
      <c r="E837" s="30"/>
      <c r="F837" s="42">
        <f>F838+F840</f>
        <v>3980</v>
      </c>
    </row>
    <row r="838" spans="1:6" s="48" customFormat="1" x14ac:dyDescent="0.2">
      <c r="A838" s="64" t="s">
        <v>473</v>
      </c>
      <c r="B838" s="30" t="s">
        <v>398</v>
      </c>
      <c r="C838" s="30" t="s">
        <v>214</v>
      </c>
      <c r="D838" s="30" t="s">
        <v>817</v>
      </c>
      <c r="E838" s="30" t="s">
        <v>226</v>
      </c>
      <c r="F838" s="41">
        <f>F839</f>
        <v>3955</v>
      </c>
    </row>
    <row r="839" spans="1:6" s="51" customFormat="1" ht="24" x14ac:dyDescent="0.2">
      <c r="A839" s="64" t="s">
        <v>227</v>
      </c>
      <c r="B839" s="30" t="s">
        <v>398</v>
      </c>
      <c r="C839" s="30" t="s">
        <v>214</v>
      </c>
      <c r="D839" s="30" t="s">
        <v>817</v>
      </c>
      <c r="E839" s="30" t="s">
        <v>228</v>
      </c>
      <c r="F839" s="41">
        <f>3755+200</f>
        <v>3955</v>
      </c>
    </row>
    <row r="840" spans="1:6" s="51" customFormat="1" x14ac:dyDescent="0.2">
      <c r="A840" s="64" t="s">
        <v>229</v>
      </c>
      <c r="B840" s="30" t="s">
        <v>398</v>
      </c>
      <c r="C840" s="30" t="s">
        <v>214</v>
      </c>
      <c r="D840" s="30" t="s">
        <v>817</v>
      </c>
      <c r="E840" s="30" t="s">
        <v>230</v>
      </c>
      <c r="F840" s="41">
        <f>F841</f>
        <v>25</v>
      </c>
    </row>
    <row r="841" spans="1:6" s="51" customFormat="1" x14ac:dyDescent="0.2">
      <c r="A841" s="64" t="s">
        <v>106</v>
      </c>
      <c r="B841" s="30" t="s">
        <v>398</v>
      </c>
      <c r="C841" s="30" t="s">
        <v>214</v>
      </c>
      <c r="D841" s="30" t="s">
        <v>817</v>
      </c>
      <c r="E841" s="30" t="s">
        <v>231</v>
      </c>
      <c r="F841" s="41">
        <v>25</v>
      </c>
    </row>
    <row r="842" spans="1:6" s="51" customFormat="1" ht="27" x14ac:dyDescent="0.2">
      <c r="A842" s="165" t="s">
        <v>711</v>
      </c>
      <c r="B842" s="154" t="s">
        <v>379</v>
      </c>
      <c r="C842" s="154"/>
      <c r="D842" s="154"/>
      <c r="E842" s="154"/>
      <c r="F842" s="156">
        <f>F843</f>
        <v>1800</v>
      </c>
    </row>
    <row r="843" spans="1:6" s="51" customFormat="1" x14ac:dyDescent="0.2">
      <c r="A843" s="63" t="s">
        <v>475</v>
      </c>
      <c r="B843" s="24" t="s">
        <v>380</v>
      </c>
      <c r="C843" s="24"/>
      <c r="D843" s="24"/>
      <c r="E843" s="24"/>
      <c r="F843" s="42">
        <f>F844</f>
        <v>1800</v>
      </c>
    </row>
    <row r="844" spans="1:6" s="51" customFormat="1" x14ac:dyDescent="0.2">
      <c r="A844" s="61" t="s">
        <v>256</v>
      </c>
      <c r="B844" s="24" t="s">
        <v>381</v>
      </c>
      <c r="C844" s="24" t="s">
        <v>214</v>
      </c>
      <c r="D844" s="24"/>
      <c r="E844" s="24"/>
      <c r="F844" s="42">
        <f>F845</f>
        <v>1800</v>
      </c>
    </row>
    <row r="845" spans="1:6" s="51" customFormat="1" ht="36" x14ac:dyDescent="0.2">
      <c r="A845" s="64" t="s">
        <v>217</v>
      </c>
      <c r="B845" s="30" t="s">
        <v>381</v>
      </c>
      <c r="C845" s="30" t="s">
        <v>214</v>
      </c>
      <c r="D845" s="30" t="s">
        <v>216</v>
      </c>
      <c r="E845" s="30" t="s">
        <v>218</v>
      </c>
      <c r="F845" s="41">
        <f>F846</f>
        <v>1800</v>
      </c>
    </row>
    <row r="846" spans="1:6" s="51" customFormat="1" x14ac:dyDescent="0.2">
      <c r="A846" s="64" t="s">
        <v>219</v>
      </c>
      <c r="B846" s="30" t="s">
        <v>381</v>
      </c>
      <c r="C846" s="30" t="s">
        <v>214</v>
      </c>
      <c r="D846" s="30" t="s">
        <v>216</v>
      </c>
      <c r="E846" s="30" t="s">
        <v>224</v>
      </c>
      <c r="F846" s="41">
        <v>1800</v>
      </c>
    </row>
    <row r="847" spans="1:6" ht="27" x14ac:dyDescent="0.2">
      <c r="A847" s="166" t="s">
        <v>713</v>
      </c>
      <c r="B847" s="154" t="s">
        <v>400</v>
      </c>
      <c r="C847" s="167"/>
      <c r="D847" s="167"/>
      <c r="E847" s="167"/>
      <c r="F847" s="156">
        <f>F848+F853</f>
        <v>14717</v>
      </c>
    </row>
    <row r="848" spans="1:6" s="32" customFormat="1" ht="24" x14ac:dyDescent="0.2">
      <c r="A848" s="63" t="s">
        <v>714</v>
      </c>
      <c r="B848" s="24" t="s">
        <v>401</v>
      </c>
      <c r="C848" s="24"/>
      <c r="D848" s="24"/>
      <c r="E848" s="24"/>
      <c r="F848" s="42">
        <f>F849</f>
        <v>11923</v>
      </c>
    </row>
    <row r="849" spans="1:6" x14ac:dyDescent="0.2">
      <c r="A849" s="61" t="s">
        <v>256</v>
      </c>
      <c r="B849" s="24" t="s">
        <v>402</v>
      </c>
      <c r="C849" s="24" t="s">
        <v>214</v>
      </c>
      <c r="D849" s="24"/>
      <c r="E849" s="24"/>
      <c r="F849" s="42">
        <f>F850</f>
        <v>11923</v>
      </c>
    </row>
    <row r="850" spans="1:6" ht="24" x14ac:dyDescent="0.2">
      <c r="A850" s="61" t="s">
        <v>506</v>
      </c>
      <c r="B850" s="24" t="s">
        <v>402</v>
      </c>
      <c r="C850" s="24" t="s">
        <v>214</v>
      </c>
      <c r="D850" s="24" t="s">
        <v>474</v>
      </c>
      <c r="E850" s="24"/>
      <c r="F850" s="42">
        <f>F851</f>
        <v>11923</v>
      </c>
    </row>
    <row r="851" spans="1:6" ht="36" x14ac:dyDescent="0.2">
      <c r="A851" s="64" t="s">
        <v>217</v>
      </c>
      <c r="B851" s="30" t="s">
        <v>402</v>
      </c>
      <c r="C851" s="30" t="s">
        <v>214</v>
      </c>
      <c r="D851" s="30" t="s">
        <v>474</v>
      </c>
      <c r="E851" s="30" t="s">
        <v>218</v>
      </c>
      <c r="F851" s="41">
        <f>F852</f>
        <v>11923</v>
      </c>
    </row>
    <row r="852" spans="1:6" s="32" customFormat="1" x14ac:dyDescent="0.2">
      <c r="A852" s="64" t="s">
        <v>219</v>
      </c>
      <c r="B852" s="30" t="s">
        <v>402</v>
      </c>
      <c r="C852" s="30" t="s">
        <v>214</v>
      </c>
      <c r="D852" s="30" t="s">
        <v>474</v>
      </c>
      <c r="E852" s="30" t="s">
        <v>224</v>
      </c>
      <c r="F852" s="41">
        <f>9403+20+2500</f>
        <v>11923</v>
      </c>
    </row>
    <row r="853" spans="1:6" s="32" customFormat="1" ht="24" x14ac:dyDescent="0.2">
      <c r="A853" s="61" t="s">
        <v>152</v>
      </c>
      <c r="B853" s="24" t="s">
        <v>401</v>
      </c>
      <c r="C853" s="24"/>
      <c r="D853" s="24"/>
      <c r="E853" s="24"/>
      <c r="F853" s="42">
        <f>F854</f>
        <v>2794</v>
      </c>
    </row>
    <row r="854" spans="1:6" s="32" customFormat="1" x14ac:dyDescent="0.2">
      <c r="A854" s="61" t="s">
        <v>256</v>
      </c>
      <c r="B854" s="24" t="s">
        <v>403</v>
      </c>
      <c r="C854" s="24" t="s">
        <v>214</v>
      </c>
      <c r="D854" s="24"/>
      <c r="E854" s="24"/>
      <c r="F854" s="42">
        <f>F855</f>
        <v>2794</v>
      </c>
    </row>
    <row r="855" spans="1:6" s="32" customFormat="1" ht="24" x14ac:dyDescent="0.2">
      <c r="A855" s="61" t="s">
        <v>506</v>
      </c>
      <c r="B855" s="24" t="s">
        <v>403</v>
      </c>
      <c r="C855" s="24" t="s">
        <v>214</v>
      </c>
      <c r="D855" s="24" t="s">
        <v>474</v>
      </c>
      <c r="E855" s="24"/>
      <c r="F855" s="42">
        <f>F856+F858</f>
        <v>2794</v>
      </c>
    </row>
    <row r="856" spans="1:6" s="32" customFormat="1" x14ac:dyDescent="0.2">
      <c r="A856" s="64" t="s">
        <v>473</v>
      </c>
      <c r="B856" s="30" t="s">
        <v>403</v>
      </c>
      <c r="C856" s="30" t="s">
        <v>214</v>
      </c>
      <c r="D856" s="30" t="s">
        <v>474</v>
      </c>
      <c r="E856" s="30" t="s">
        <v>226</v>
      </c>
      <c r="F856" s="41">
        <f>F857</f>
        <v>2760</v>
      </c>
    </row>
    <row r="857" spans="1:6" s="32" customFormat="1" ht="24" x14ac:dyDescent="0.2">
      <c r="A857" s="64" t="s">
        <v>227</v>
      </c>
      <c r="B857" s="30" t="s">
        <v>403</v>
      </c>
      <c r="C857" s="30" t="s">
        <v>214</v>
      </c>
      <c r="D857" s="30" t="s">
        <v>474</v>
      </c>
      <c r="E857" s="30" t="s">
        <v>228</v>
      </c>
      <c r="F857" s="41">
        <f>2785-25</f>
        <v>2760</v>
      </c>
    </row>
    <row r="858" spans="1:6" x14ac:dyDescent="0.2">
      <c r="A858" s="64" t="s">
        <v>229</v>
      </c>
      <c r="B858" s="30" t="s">
        <v>403</v>
      </c>
      <c r="C858" s="30" t="s">
        <v>214</v>
      </c>
      <c r="D858" s="30" t="s">
        <v>474</v>
      </c>
      <c r="E858" s="30" t="s">
        <v>230</v>
      </c>
      <c r="F858" s="41">
        <f>F859</f>
        <v>34</v>
      </c>
    </row>
    <row r="859" spans="1:6" s="32" customFormat="1" x14ac:dyDescent="0.2">
      <c r="A859" s="64" t="s">
        <v>106</v>
      </c>
      <c r="B859" s="30" t="s">
        <v>403</v>
      </c>
      <c r="C859" s="30" t="s">
        <v>214</v>
      </c>
      <c r="D859" s="30" t="s">
        <v>474</v>
      </c>
      <c r="E859" s="30" t="s">
        <v>231</v>
      </c>
      <c r="F859" s="41">
        <f>14-5+25</f>
        <v>34</v>
      </c>
    </row>
    <row r="860" spans="1:6" s="32" customFormat="1" ht="13.5" x14ac:dyDescent="0.2">
      <c r="A860" s="166" t="s">
        <v>242</v>
      </c>
      <c r="B860" s="154" t="s">
        <v>382</v>
      </c>
      <c r="C860" s="167"/>
      <c r="D860" s="167"/>
      <c r="E860" s="167"/>
      <c r="F860" s="156">
        <f>F861+F866</f>
        <v>15389</v>
      </c>
    </row>
    <row r="861" spans="1:6" s="32" customFormat="1" ht="24" x14ac:dyDescent="0.2">
      <c r="A861" s="63" t="s">
        <v>243</v>
      </c>
      <c r="B861" s="24" t="s">
        <v>383</v>
      </c>
      <c r="C861" s="24"/>
      <c r="D861" s="24"/>
      <c r="E861" s="24"/>
      <c r="F861" s="42">
        <f>F862</f>
        <v>12615</v>
      </c>
    </row>
    <row r="862" spans="1:6" s="32" customFormat="1" x14ac:dyDescent="0.2">
      <c r="A862" s="61" t="s">
        <v>256</v>
      </c>
      <c r="B862" s="24" t="s">
        <v>383</v>
      </c>
      <c r="C862" s="24" t="s">
        <v>214</v>
      </c>
      <c r="D862" s="24"/>
      <c r="E862" s="24"/>
      <c r="F862" s="42">
        <f>F863</f>
        <v>12615</v>
      </c>
    </row>
    <row r="863" spans="1:6" s="32" customFormat="1" ht="24" x14ac:dyDescent="0.2">
      <c r="A863" s="61" t="s">
        <v>506</v>
      </c>
      <c r="B863" s="24" t="s">
        <v>384</v>
      </c>
      <c r="C863" s="24" t="s">
        <v>214</v>
      </c>
      <c r="D863" s="24" t="s">
        <v>474</v>
      </c>
      <c r="E863" s="24"/>
      <c r="F863" s="42">
        <f>F864</f>
        <v>12615</v>
      </c>
    </row>
    <row r="864" spans="1:6" s="32" customFormat="1" ht="36" x14ac:dyDescent="0.2">
      <c r="A864" s="64" t="s">
        <v>217</v>
      </c>
      <c r="B864" s="30" t="s">
        <v>384</v>
      </c>
      <c r="C864" s="30" t="s">
        <v>214</v>
      </c>
      <c r="D864" s="30" t="s">
        <v>474</v>
      </c>
      <c r="E864" s="30" t="s">
        <v>218</v>
      </c>
      <c r="F864" s="41">
        <f>F865</f>
        <v>12615</v>
      </c>
    </row>
    <row r="865" spans="1:6" s="32" customFormat="1" x14ac:dyDescent="0.2">
      <c r="A865" s="64" t="s">
        <v>219</v>
      </c>
      <c r="B865" s="30" t="s">
        <v>384</v>
      </c>
      <c r="C865" s="30" t="s">
        <v>214</v>
      </c>
      <c r="D865" s="30" t="s">
        <v>474</v>
      </c>
      <c r="E865" s="30" t="s">
        <v>224</v>
      </c>
      <c r="F865" s="41">
        <v>12615</v>
      </c>
    </row>
    <row r="866" spans="1:6" s="32" customFormat="1" x14ac:dyDescent="0.2">
      <c r="A866" s="61" t="s">
        <v>244</v>
      </c>
      <c r="B866" s="24" t="s">
        <v>383</v>
      </c>
      <c r="C866" s="24"/>
      <c r="D866" s="24"/>
      <c r="E866" s="24"/>
      <c r="F866" s="42">
        <f>F867</f>
        <v>2774</v>
      </c>
    </row>
    <row r="867" spans="1:6" s="32" customFormat="1" x14ac:dyDescent="0.2">
      <c r="A867" s="61" t="s">
        <v>256</v>
      </c>
      <c r="B867" s="24" t="s">
        <v>385</v>
      </c>
      <c r="C867" s="24" t="s">
        <v>214</v>
      </c>
      <c r="D867" s="24"/>
      <c r="E867" s="24"/>
      <c r="F867" s="42">
        <f>F868</f>
        <v>2774</v>
      </c>
    </row>
    <row r="868" spans="1:6" s="32" customFormat="1" ht="24" x14ac:dyDescent="0.2">
      <c r="A868" s="61" t="s">
        <v>506</v>
      </c>
      <c r="B868" s="24" t="s">
        <v>385</v>
      </c>
      <c r="C868" s="24" t="s">
        <v>214</v>
      </c>
      <c r="D868" s="24" t="s">
        <v>474</v>
      </c>
      <c r="E868" s="24"/>
      <c r="F868" s="42">
        <f>F869+F871</f>
        <v>2774</v>
      </c>
    </row>
    <row r="869" spans="1:6" s="32" customFormat="1" x14ac:dyDescent="0.2">
      <c r="A869" s="64" t="s">
        <v>473</v>
      </c>
      <c r="B869" s="30" t="s">
        <v>385</v>
      </c>
      <c r="C869" s="30" t="s">
        <v>214</v>
      </c>
      <c r="D869" s="30" t="s">
        <v>474</v>
      </c>
      <c r="E869" s="30" t="s">
        <v>226</v>
      </c>
      <c r="F869" s="41">
        <f>F870</f>
        <v>2769</v>
      </c>
    </row>
    <row r="870" spans="1:6" s="32" customFormat="1" ht="24" x14ac:dyDescent="0.2">
      <c r="A870" s="64" t="s">
        <v>227</v>
      </c>
      <c r="B870" s="30" t="s">
        <v>385</v>
      </c>
      <c r="C870" s="30" t="s">
        <v>214</v>
      </c>
      <c r="D870" s="30" t="s">
        <v>474</v>
      </c>
      <c r="E870" s="30" t="s">
        <v>228</v>
      </c>
      <c r="F870" s="41">
        <v>2769</v>
      </c>
    </row>
    <row r="871" spans="1:6" s="32" customFormat="1" x14ac:dyDescent="0.2">
      <c r="A871" s="64" t="s">
        <v>229</v>
      </c>
      <c r="B871" s="30" t="s">
        <v>385</v>
      </c>
      <c r="C871" s="30" t="s">
        <v>214</v>
      </c>
      <c r="D871" s="30" t="s">
        <v>474</v>
      </c>
      <c r="E871" s="30" t="s">
        <v>230</v>
      </c>
      <c r="F871" s="41">
        <f>F872</f>
        <v>5</v>
      </c>
    </row>
    <row r="872" spans="1:6" s="32" customFormat="1" x14ac:dyDescent="0.2">
      <c r="A872" s="64" t="s">
        <v>106</v>
      </c>
      <c r="B872" s="30" t="s">
        <v>385</v>
      </c>
      <c r="C872" s="30" t="s">
        <v>214</v>
      </c>
      <c r="D872" s="30" t="s">
        <v>474</v>
      </c>
      <c r="E872" s="30" t="s">
        <v>231</v>
      </c>
      <c r="F872" s="41">
        <v>5</v>
      </c>
    </row>
    <row r="873" spans="1:6" s="32" customFormat="1" ht="13.5" x14ac:dyDescent="0.2">
      <c r="A873" s="166" t="s">
        <v>712</v>
      </c>
      <c r="B873" s="154" t="s">
        <v>382</v>
      </c>
      <c r="C873" s="154"/>
      <c r="D873" s="154"/>
      <c r="E873" s="167"/>
      <c r="F873" s="156">
        <f>F874+F880</f>
        <v>126698.61629000001</v>
      </c>
    </row>
    <row r="874" spans="1:6" s="32" customFormat="1" x14ac:dyDescent="0.2">
      <c r="A874" s="63" t="s">
        <v>475</v>
      </c>
      <c r="B874" s="24" t="s">
        <v>383</v>
      </c>
      <c r="C874" s="24"/>
      <c r="D874" s="24"/>
      <c r="E874" s="24"/>
      <c r="F874" s="42">
        <f>F875</f>
        <v>102487.2</v>
      </c>
    </row>
    <row r="875" spans="1:6" s="32" customFormat="1" x14ac:dyDescent="0.2">
      <c r="A875" s="61" t="s">
        <v>256</v>
      </c>
      <c r="B875" s="24" t="s">
        <v>384</v>
      </c>
      <c r="C875" s="24" t="s">
        <v>214</v>
      </c>
      <c r="D875" s="24"/>
      <c r="E875" s="24"/>
      <c r="F875" s="42">
        <f>F876+F878</f>
        <v>102487.2</v>
      </c>
    </row>
    <row r="876" spans="1:6" s="32" customFormat="1" ht="36" x14ac:dyDescent="0.2">
      <c r="A876" s="64" t="s">
        <v>217</v>
      </c>
      <c r="B876" s="30" t="s">
        <v>384</v>
      </c>
      <c r="C876" s="30" t="s">
        <v>214</v>
      </c>
      <c r="D876" s="30" t="s">
        <v>216</v>
      </c>
      <c r="E876" s="30" t="s">
        <v>218</v>
      </c>
      <c r="F876" s="41">
        <f>F877</f>
        <v>102265.2</v>
      </c>
    </row>
    <row r="877" spans="1:6" s="32" customFormat="1" x14ac:dyDescent="0.2">
      <c r="A877" s="64" t="s">
        <v>219</v>
      </c>
      <c r="B877" s="30" t="s">
        <v>384</v>
      </c>
      <c r="C877" s="30" t="s">
        <v>214</v>
      </c>
      <c r="D877" s="30" t="s">
        <v>216</v>
      </c>
      <c r="E877" s="30" t="s">
        <v>224</v>
      </c>
      <c r="F877" s="41">
        <f>102347.2-62-20</f>
        <v>102265.2</v>
      </c>
    </row>
    <row r="878" spans="1:6" s="32" customFormat="1" x14ac:dyDescent="0.2">
      <c r="A878" s="84" t="s">
        <v>237</v>
      </c>
      <c r="B878" s="30" t="s">
        <v>384</v>
      </c>
      <c r="C878" s="30" t="s">
        <v>214</v>
      </c>
      <c r="D878" s="30" t="s">
        <v>216</v>
      </c>
      <c r="E878" s="30" t="s">
        <v>236</v>
      </c>
      <c r="F878" s="41">
        <f>F879</f>
        <v>222</v>
      </c>
    </row>
    <row r="879" spans="1:6" s="32" customFormat="1" x14ac:dyDescent="0.2">
      <c r="A879" s="84" t="s">
        <v>238</v>
      </c>
      <c r="B879" s="30" t="s">
        <v>384</v>
      </c>
      <c r="C879" s="30" t="s">
        <v>214</v>
      </c>
      <c r="D879" s="30" t="s">
        <v>216</v>
      </c>
      <c r="E879" s="30" t="s">
        <v>239</v>
      </c>
      <c r="F879" s="41">
        <f>160+62</f>
        <v>222</v>
      </c>
    </row>
    <row r="880" spans="1:6" s="32" customFormat="1" x14ac:dyDescent="0.2">
      <c r="A880" s="61" t="s">
        <v>225</v>
      </c>
      <c r="B880" s="24" t="s">
        <v>383</v>
      </c>
      <c r="C880" s="24"/>
      <c r="D880" s="24"/>
      <c r="E880" s="24"/>
      <c r="F880" s="42">
        <f>F881</f>
        <v>24211.416290000001</v>
      </c>
    </row>
    <row r="881" spans="1:6" s="32" customFormat="1" x14ac:dyDescent="0.2">
      <c r="A881" s="61" t="s">
        <v>256</v>
      </c>
      <c r="B881" s="24" t="s">
        <v>385</v>
      </c>
      <c r="C881" s="24" t="s">
        <v>214</v>
      </c>
      <c r="D881" s="24"/>
      <c r="E881" s="24"/>
      <c r="F881" s="42">
        <f>F882+F884</f>
        <v>24211.416290000001</v>
      </c>
    </row>
    <row r="882" spans="1:6" s="32" customFormat="1" x14ac:dyDescent="0.2">
      <c r="A882" s="64" t="s">
        <v>473</v>
      </c>
      <c r="B882" s="30" t="s">
        <v>385</v>
      </c>
      <c r="C882" s="30" t="s">
        <v>214</v>
      </c>
      <c r="D882" s="30" t="s">
        <v>216</v>
      </c>
      <c r="E882" s="30" t="s">
        <v>226</v>
      </c>
      <c r="F882" s="41">
        <f>F883</f>
        <v>22758</v>
      </c>
    </row>
    <row r="883" spans="1:6" s="32" customFormat="1" ht="24" x14ac:dyDescent="0.2">
      <c r="A883" s="64" t="s">
        <v>227</v>
      </c>
      <c r="B883" s="30" t="s">
        <v>385</v>
      </c>
      <c r="C883" s="30" t="s">
        <v>214</v>
      </c>
      <c r="D883" s="30" t="s">
        <v>216</v>
      </c>
      <c r="E883" s="30" t="s">
        <v>228</v>
      </c>
      <c r="F883" s="41">
        <f>23363-90-500-15</f>
        <v>22758</v>
      </c>
    </row>
    <row r="884" spans="1:6" s="32" customFormat="1" x14ac:dyDescent="0.2">
      <c r="A884" s="64" t="s">
        <v>229</v>
      </c>
      <c r="B884" s="30" t="s">
        <v>385</v>
      </c>
      <c r="C884" s="30" t="s">
        <v>214</v>
      </c>
      <c r="D884" s="30" t="s">
        <v>216</v>
      </c>
      <c r="E884" s="30" t="s">
        <v>230</v>
      </c>
      <c r="F884" s="41">
        <f>F885</f>
        <v>1453.4162900000001</v>
      </c>
    </row>
    <row r="885" spans="1:6" s="32" customFormat="1" x14ac:dyDescent="0.2">
      <c r="A885" s="64" t="s">
        <v>106</v>
      </c>
      <c r="B885" s="30" t="s">
        <v>385</v>
      </c>
      <c r="C885" s="30" t="s">
        <v>214</v>
      </c>
      <c r="D885" s="30" t="s">
        <v>216</v>
      </c>
      <c r="E885" s="30" t="s">
        <v>231</v>
      </c>
      <c r="F885" s="41">
        <f>852+90-8.58371+500+20</f>
        <v>1453.4162900000001</v>
      </c>
    </row>
    <row r="886" spans="1:6" s="32" customFormat="1" ht="13.5" x14ac:dyDescent="0.2">
      <c r="A886" s="166" t="s">
        <v>712</v>
      </c>
      <c r="B886" s="154" t="s">
        <v>382</v>
      </c>
      <c r="C886" s="154"/>
      <c r="D886" s="154"/>
      <c r="E886" s="154"/>
      <c r="F886" s="156">
        <f>F887+F892</f>
        <v>6138</v>
      </c>
    </row>
    <row r="887" spans="1:6" s="32" customFormat="1" x14ac:dyDescent="0.2">
      <c r="A887" s="63" t="s">
        <v>475</v>
      </c>
      <c r="B887" s="24" t="s">
        <v>383</v>
      </c>
      <c r="C887" s="24"/>
      <c r="D887" s="24"/>
      <c r="E887" s="24"/>
      <c r="F887" s="42">
        <f>F888</f>
        <v>5388</v>
      </c>
    </row>
    <row r="888" spans="1:6" s="32" customFormat="1" x14ac:dyDescent="0.2">
      <c r="A888" s="61" t="s">
        <v>667</v>
      </c>
      <c r="B888" s="24" t="s">
        <v>384</v>
      </c>
      <c r="C888" s="24" t="s">
        <v>731</v>
      </c>
      <c r="D888" s="24"/>
      <c r="E888" s="24"/>
      <c r="F888" s="42">
        <f>F889</f>
        <v>5388</v>
      </c>
    </row>
    <row r="889" spans="1:6" s="32" customFormat="1" x14ac:dyDescent="0.2">
      <c r="A889" s="66" t="s">
        <v>672</v>
      </c>
      <c r="B889" s="24" t="s">
        <v>384</v>
      </c>
      <c r="C889" s="24" t="s">
        <v>731</v>
      </c>
      <c r="D889" s="24" t="s">
        <v>731</v>
      </c>
      <c r="E889" s="24"/>
      <c r="F889" s="42">
        <f>F890</f>
        <v>5388</v>
      </c>
    </row>
    <row r="890" spans="1:6" s="32" customFormat="1" ht="36" x14ac:dyDescent="0.2">
      <c r="A890" s="64" t="s">
        <v>217</v>
      </c>
      <c r="B890" s="30" t="s">
        <v>384</v>
      </c>
      <c r="C890" s="30" t="s">
        <v>731</v>
      </c>
      <c r="D890" s="30" t="s">
        <v>731</v>
      </c>
      <c r="E890" s="30" t="s">
        <v>218</v>
      </c>
      <c r="F890" s="41">
        <f>F891</f>
        <v>5388</v>
      </c>
    </row>
    <row r="891" spans="1:6" s="32" customFormat="1" x14ac:dyDescent="0.2">
      <c r="A891" s="64" t="s">
        <v>219</v>
      </c>
      <c r="B891" s="30" t="s">
        <v>384</v>
      </c>
      <c r="C891" s="30" t="s">
        <v>731</v>
      </c>
      <c r="D891" s="30" t="s">
        <v>731</v>
      </c>
      <c r="E891" s="30" t="s">
        <v>224</v>
      </c>
      <c r="F891" s="41">
        <v>5388</v>
      </c>
    </row>
    <row r="892" spans="1:6" s="32" customFormat="1" x14ac:dyDescent="0.2">
      <c r="A892" s="61" t="s">
        <v>225</v>
      </c>
      <c r="B892" s="24" t="s">
        <v>383</v>
      </c>
      <c r="C892" s="24"/>
      <c r="D892" s="24"/>
      <c r="E892" s="24"/>
      <c r="F892" s="42">
        <f>F893</f>
        <v>750</v>
      </c>
    </row>
    <row r="893" spans="1:6" s="32" customFormat="1" x14ac:dyDescent="0.2">
      <c r="A893" s="61" t="s">
        <v>667</v>
      </c>
      <c r="B893" s="24" t="s">
        <v>385</v>
      </c>
      <c r="C893" s="24" t="s">
        <v>731</v>
      </c>
      <c r="D893" s="24"/>
      <c r="E893" s="24"/>
      <c r="F893" s="42">
        <f>F894</f>
        <v>750</v>
      </c>
    </row>
    <row r="894" spans="1:6" s="32" customFormat="1" x14ac:dyDescent="0.2">
      <c r="A894" s="66" t="s">
        <v>672</v>
      </c>
      <c r="B894" s="30" t="s">
        <v>385</v>
      </c>
      <c r="C894" s="24" t="s">
        <v>731</v>
      </c>
      <c r="D894" s="24" t="s">
        <v>731</v>
      </c>
      <c r="E894" s="24"/>
      <c r="F894" s="42">
        <f>F895+F897</f>
        <v>750</v>
      </c>
    </row>
    <row r="895" spans="1:6" s="32" customFormat="1" x14ac:dyDescent="0.2">
      <c r="A895" s="64" t="s">
        <v>473</v>
      </c>
      <c r="B895" s="30" t="s">
        <v>385</v>
      </c>
      <c r="C895" s="30" t="s">
        <v>731</v>
      </c>
      <c r="D895" s="30" t="s">
        <v>731</v>
      </c>
      <c r="E895" s="30" t="s">
        <v>226</v>
      </c>
      <c r="F895" s="41">
        <f>F896</f>
        <v>705</v>
      </c>
    </row>
    <row r="896" spans="1:6" s="32" customFormat="1" ht="24" x14ac:dyDescent="0.2">
      <c r="A896" s="64" t="s">
        <v>227</v>
      </c>
      <c r="B896" s="30" t="s">
        <v>385</v>
      </c>
      <c r="C896" s="30" t="s">
        <v>731</v>
      </c>
      <c r="D896" s="30" t="s">
        <v>731</v>
      </c>
      <c r="E896" s="30" t="s">
        <v>228</v>
      </c>
      <c r="F896" s="41">
        <f>740-150+115</f>
        <v>705</v>
      </c>
    </row>
    <row r="897" spans="1:6" s="32" customFormat="1" x14ac:dyDescent="0.2">
      <c r="A897" s="64" t="s">
        <v>229</v>
      </c>
      <c r="B897" s="30" t="s">
        <v>385</v>
      </c>
      <c r="C897" s="30" t="s">
        <v>731</v>
      </c>
      <c r="D897" s="30" t="s">
        <v>731</v>
      </c>
      <c r="E897" s="30" t="s">
        <v>230</v>
      </c>
      <c r="F897" s="41">
        <f>F898</f>
        <v>45</v>
      </c>
    </row>
    <row r="898" spans="1:6" s="32" customFormat="1" x14ac:dyDescent="0.2">
      <c r="A898" s="64" t="s">
        <v>106</v>
      </c>
      <c r="B898" s="30" t="s">
        <v>385</v>
      </c>
      <c r="C898" s="30" t="s">
        <v>731</v>
      </c>
      <c r="D898" s="30" t="s">
        <v>731</v>
      </c>
      <c r="E898" s="30" t="s">
        <v>231</v>
      </c>
      <c r="F898" s="41">
        <f>160-115</f>
        <v>45</v>
      </c>
    </row>
    <row r="899" spans="1:6" s="32" customFormat="1" x14ac:dyDescent="0.2">
      <c r="A899" s="77" t="s">
        <v>476</v>
      </c>
      <c r="B899" s="70"/>
      <c r="C899" s="70"/>
      <c r="D899" s="70"/>
      <c r="E899" s="70"/>
      <c r="F899" s="110">
        <f>F900+F913+F922+F938+F943+F948+F953+F958+F963+F968+F973+F978+F983+F988+F997+F1003+F1012+F1017+F1024+F1029+F1034+F1039+F1045+F1056+F1062+F929+F1067</f>
        <v>283436.39742000005</v>
      </c>
    </row>
    <row r="900" spans="1:6" s="32" customFormat="1" ht="13.5" x14ac:dyDescent="0.2">
      <c r="A900" s="165" t="s">
        <v>233</v>
      </c>
      <c r="B900" s="154" t="s">
        <v>383</v>
      </c>
      <c r="C900" s="154"/>
      <c r="D900" s="154"/>
      <c r="E900" s="154"/>
      <c r="F900" s="156">
        <f>F901+F905</f>
        <v>3000</v>
      </c>
    </row>
    <row r="901" spans="1:6" s="32" customFormat="1" x14ac:dyDescent="0.2">
      <c r="A901" s="61" t="s">
        <v>256</v>
      </c>
      <c r="B901" s="24" t="s">
        <v>512</v>
      </c>
      <c r="C901" s="24" t="s">
        <v>214</v>
      </c>
      <c r="D901" s="24"/>
      <c r="E901" s="24"/>
      <c r="F901" s="42">
        <f>F902</f>
        <v>1301</v>
      </c>
    </row>
    <row r="902" spans="1:6" s="32" customFormat="1" x14ac:dyDescent="0.2">
      <c r="A902" s="61" t="s">
        <v>508</v>
      </c>
      <c r="B902" s="24" t="s">
        <v>512</v>
      </c>
      <c r="C902" s="24" t="s">
        <v>214</v>
      </c>
      <c r="D902" s="24" t="s">
        <v>232</v>
      </c>
      <c r="E902" s="30"/>
      <c r="F902" s="42">
        <f>F903</f>
        <v>1301</v>
      </c>
    </row>
    <row r="903" spans="1:6" s="32" customFormat="1" x14ac:dyDescent="0.2">
      <c r="A903" s="64" t="s">
        <v>229</v>
      </c>
      <c r="B903" s="30" t="s">
        <v>512</v>
      </c>
      <c r="C903" s="30" t="s">
        <v>214</v>
      </c>
      <c r="D903" s="30" t="s">
        <v>232</v>
      </c>
      <c r="E903" s="30" t="s">
        <v>230</v>
      </c>
      <c r="F903" s="41">
        <f>F904</f>
        <v>1301</v>
      </c>
    </row>
    <row r="904" spans="1:6" s="32" customFormat="1" x14ac:dyDescent="0.2">
      <c r="A904" s="64" t="s">
        <v>234</v>
      </c>
      <c r="B904" s="30" t="s">
        <v>512</v>
      </c>
      <c r="C904" s="30" t="s">
        <v>214</v>
      </c>
      <c r="D904" s="30" t="s">
        <v>232</v>
      </c>
      <c r="E904" s="30" t="s">
        <v>736</v>
      </c>
      <c r="F904" s="41">
        <v>1301</v>
      </c>
    </row>
    <row r="905" spans="1:6" s="32" customFormat="1" x14ac:dyDescent="0.2">
      <c r="A905" s="61" t="s">
        <v>700</v>
      </c>
      <c r="B905" s="24" t="s">
        <v>512</v>
      </c>
      <c r="C905" s="24" t="s">
        <v>107</v>
      </c>
      <c r="D905" s="24"/>
      <c r="E905" s="24"/>
      <c r="F905" s="42">
        <f>F906</f>
        <v>1699</v>
      </c>
    </row>
    <row r="906" spans="1:6" s="32" customFormat="1" x14ac:dyDescent="0.2">
      <c r="A906" s="61" t="s">
        <v>687</v>
      </c>
      <c r="B906" s="24" t="s">
        <v>512</v>
      </c>
      <c r="C906" s="24" t="s">
        <v>107</v>
      </c>
      <c r="D906" s="24" t="s">
        <v>817</v>
      </c>
      <c r="E906" s="24"/>
      <c r="F906" s="42">
        <f>F907+F909+F911</f>
        <v>1699</v>
      </c>
    </row>
    <row r="907" spans="1:6" s="32" customFormat="1" x14ac:dyDescent="0.2">
      <c r="A907" s="64" t="s">
        <v>237</v>
      </c>
      <c r="B907" s="30" t="s">
        <v>512</v>
      </c>
      <c r="C907" s="30" t="s">
        <v>107</v>
      </c>
      <c r="D907" s="30" t="s">
        <v>817</v>
      </c>
      <c r="E907" s="30" t="s">
        <v>236</v>
      </c>
      <c r="F907" s="41">
        <f>F908</f>
        <v>515</v>
      </c>
    </row>
    <row r="908" spans="1:6" s="32" customFormat="1" x14ac:dyDescent="0.2">
      <c r="A908" s="64" t="s">
        <v>314</v>
      </c>
      <c r="B908" s="30" t="s">
        <v>512</v>
      </c>
      <c r="C908" s="30" t="s">
        <v>107</v>
      </c>
      <c r="D908" s="30" t="s">
        <v>817</v>
      </c>
      <c r="E908" s="30" t="s">
        <v>110</v>
      </c>
      <c r="F908" s="41">
        <v>515</v>
      </c>
    </row>
    <row r="909" spans="1:6" s="32" customFormat="1" x14ac:dyDescent="0.2">
      <c r="A909" s="64" t="s">
        <v>473</v>
      </c>
      <c r="B909" s="30" t="s">
        <v>512</v>
      </c>
      <c r="C909" s="30" t="s">
        <v>107</v>
      </c>
      <c r="D909" s="30" t="s">
        <v>817</v>
      </c>
      <c r="E909" s="30" t="s">
        <v>226</v>
      </c>
      <c r="F909" s="41">
        <f>F910</f>
        <v>414</v>
      </c>
    </row>
    <row r="910" spans="1:6" s="32" customFormat="1" ht="24" x14ac:dyDescent="0.2">
      <c r="A910" s="64" t="s">
        <v>227</v>
      </c>
      <c r="B910" s="30" t="s">
        <v>512</v>
      </c>
      <c r="C910" s="30" t="s">
        <v>107</v>
      </c>
      <c r="D910" s="30" t="s">
        <v>817</v>
      </c>
      <c r="E910" s="30" t="s">
        <v>228</v>
      </c>
      <c r="F910" s="41">
        <f>207+207</f>
        <v>414</v>
      </c>
    </row>
    <row r="911" spans="1:6" s="32" customFormat="1" ht="24" x14ac:dyDescent="0.2">
      <c r="A911" s="84" t="s">
        <v>246</v>
      </c>
      <c r="B911" s="30" t="s">
        <v>512</v>
      </c>
      <c r="C911" s="30" t="s">
        <v>107</v>
      </c>
      <c r="D911" s="30" t="s">
        <v>817</v>
      </c>
      <c r="E911" s="30" t="s">
        <v>702</v>
      </c>
      <c r="F911" s="41">
        <f>F912</f>
        <v>770</v>
      </c>
    </row>
    <row r="912" spans="1:6" s="32" customFormat="1" x14ac:dyDescent="0.2">
      <c r="A912" s="84" t="s">
        <v>247</v>
      </c>
      <c r="B912" s="30" t="s">
        <v>512</v>
      </c>
      <c r="C912" s="30" t="s">
        <v>107</v>
      </c>
      <c r="D912" s="30" t="s">
        <v>817</v>
      </c>
      <c r="E912" s="30" t="s">
        <v>724</v>
      </c>
      <c r="F912" s="41">
        <v>770</v>
      </c>
    </row>
    <row r="913" spans="1:6" s="32" customFormat="1" ht="27" x14ac:dyDescent="0.2">
      <c r="A913" s="165" t="s">
        <v>173</v>
      </c>
      <c r="B913" s="154" t="s">
        <v>383</v>
      </c>
      <c r="C913" s="154"/>
      <c r="D913" s="154"/>
      <c r="E913" s="154"/>
      <c r="F913" s="156">
        <f>F914</f>
        <v>40674</v>
      </c>
    </row>
    <row r="914" spans="1:6" s="32" customFormat="1" x14ac:dyDescent="0.2">
      <c r="A914" s="61" t="s">
        <v>256</v>
      </c>
      <c r="B914" s="24" t="s">
        <v>513</v>
      </c>
      <c r="C914" s="36" t="s">
        <v>214</v>
      </c>
      <c r="D914" s="36"/>
      <c r="E914" s="36"/>
      <c r="F914" s="111">
        <f>F915</f>
        <v>40674</v>
      </c>
    </row>
    <row r="915" spans="1:6" s="32" customFormat="1" x14ac:dyDescent="0.2">
      <c r="A915" s="61" t="s">
        <v>726</v>
      </c>
      <c r="B915" s="24" t="s">
        <v>513</v>
      </c>
      <c r="C915" s="36" t="s">
        <v>214</v>
      </c>
      <c r="D915" s="36" t="s">
        <v>235</v>
      </c>
      <c r="E915" s="36"/>
      <c r="F915" s="111">
        <f>F916+F918+F920</f>
        <v>40674</v>
      </c>
    </row>
    <row r="916" spans="1:6" s="32" customFormat="1" ht="36" x14ac:dyDescent="0.2">
      <c r="A916" s="64" t="s">
        <v>217</v>
      </c>
      <c r="B916" s="30" t="s">
        <v>513</v>
      </c>
      <c r="C916" s="30" t="s">
        <v>214</v>
      </c>
      <c r="D916" s="30" t="s">
        <v>235</v>
      </c>
      <c r="E916" s="30" t="s">
        <v>218</v>
      </c>
      <c r="F916" s="41">
        <f>F917</f>
        <v>31984</v>
      </c>
    </row>
    <row r="917" spans="1:6" s="32" customFormat="1" x14ac:dyDescent="0.2">
      <c r="A917" s="64" t="s">
        <v>820</v>
      </c>
      <c r="B917" s="30" t="s">
        <v>513</v>
      </c>
      <c r="C917" s="30" t="s">
        <v>214</v>
      </c>
      <c r="D917" s="30" t="s">
        <v>235</v>
      </c>
      <c r="E917" s="30" t="s">
        <v>821</v>
      </c>
      <c r="F917" s="41">
        <f>35644-460-2200-1000</f>
        <v>31984</v>
      </c>
    </row>
    <row r="918" spans="1:6" s="32" customFormat="1" x14ac:dyDescent="0.2">
      <c r="A918" s="64" t="s">
        <v>473</v>
      </c>
      <c r="B918" s="30" t="s">
        <v>513</v>
      </c>
      <c r="C918" s="30" t="s">
        <v>214</v>
      </c>
      <c r="D918" s="30" t="s">
        <v>235</v>
      </c>
      <c r="E918" s="30" t="s">
        <v>226</v>
      </c>
      <c r="F918" s="41">
        <f>F919</f>
        <v>8440</v>
      </c>
    </row>
    <row r="919" spans="1:6" s="32" customFormat="1" ht="24" x14ac:dyDescent="0.2">
      <c r="A919" s="64" t="s">
        <v>227</v>
      </c>
      <c r="B919" s="30" t="s">
        <v>513</v>
      </c>
      <c r="C919" s="30" t="s">
        <v>214</v>
      </c>
      <c r="D919" s="30" t="s">
        <v>235</v>
      </c>
      <c r="E919" s="30" t="s">
        <v>228</v>
      </c>
      <c r="F919" s="41">
        <f>5780+460+2200</f>
        <v>8440</v>
      </c>
    </row>
    <row r="920" spans="1:6" s="32" customFormat="1" x14ac:dyDescent="0.2">
      <c r="A920" s="64" t="s">
        <v>229</v>
      </c>
      <c r="B920" s="30" t="s">
        <v>513</v>
      </c>
      <c r="C920" s="30" t="s">
        <v>214</v>
      </c>
      <c r="D920" s="30" t="s">
        <v>235</v>
      </c>
      <c r="E920" s="30" t="s">
        <v>230</v>
      </c>
      <c r="F920" s="41">
        <f>F921</f>
        <v>250</v>
      </c>
    </row>
    <row r="921" spans="1:6" s="32" customFormat="1" x14ac:dyDescent="0.2">
      <c r="A921" s="64" t="s">
        <v>106</v>
      </c>
      <c r="B921" s="30" t="s">
        <v>513</v>
      </c>
      <c r="C921" s="30" t="s">
        <v>214</v>
      </c>
      <c r="D921" s="30" t="s">
        <v>235</v>
      </c>
      <c r="E921" s="30" t="s">
        <v>231</v>
      </c>
      <c r="F921" s="41">
        <v>250</v>
      </c>
    </row>
    <row r="922" spans="1:6" s="32" customFormat="1" ht="13.5" x14ac:dyDescent="0.2">
      <c r="A922" s="165" t="s">
        <v>153</v>
      </c>
      <c r="B922" s="154" t="s">
        <v>383</v>
      </c>
      <c r="C922" s="154"/>
      <c r="D922" s="154"/>
      <c r="E922" s="154"/>
      <c r="F922" s="156">
        <f>F923</f>
        <v>925</v>
      </c>
    </row>
    <row r="923" spans="1:6" s="32" customFormat="1" x14ac:dyDescent="0.2">
      <c r="A923" s="61" t="s">
        <v>256</v>
      </c>
      <c r="B923" s="24" t="s">
        <v>522</v>
      </c>
      <c r="C923" s="36" t="s">
        <v>214</v>
      </c>
      <c r="D923" s="36"/>
      <c r="E923" s="36"/>
      <c r="F923" s="111">
        <f>F924</f>
        <v>925</v>
      </c>
    </row>
    <row r="924" spans="1:6" s="32" customFormat="1" x14ac:dyDescent="0.2">
      <c r="A924" s="61" t="s">
        <v>726</v>
      </c>
      <c r="B924" s="24" t="s">
        <v>522</v>
      </c>
      <c r="C924" s="36" t="s">
        <v>214</v>
      </c>
      <c r="D924" s="36" t="s">
        <v>235</v>
      </c>
      <c r="E924" s="36"/>
      <c r="F924" s="111">
        <f>F925+F927</f>
        <v>925</v>
      </c>
    </row>
    <row r="925" spans="1:6" s="32" customFormat="1" ht="36" x14ac:dyDescent="0.2">
      <c r="A925" s="64" t="s">
        <v>217</v>
      </c>
      <c r="B925" s="30" t="s">
        <v>522</v>
      </c>
      <c r="C925" s="30" t="s">
        <v>214</v>
      </c>
      <c r="D925" s="30" t="s">
        <v>235</v>
      </c>
      <c r="E925" s="30" t="s">
        <v>218</v>
      </c>
      <c r="F925" s="41">
        <f>F926</f>
        <v>715</v>
      </c>
    </row>
    <row r="926" spans="1:6" s="32" customFormat="1" x14ac:dyDescent="0.2">
      <c r="A926" s="64" t="s">
        <v>820</v>
      </c>
      <c r="B926" s="30" t="s">
        <v>522</v>
      </c>
      <c r="C926" s="30" t="s">
        <v>214</v>
      </c>
      <c r="D926" s="30" t="s">
        <v>235</v>
      </c>
      <c r="E926" s="30" t="s">
        <v>821</v>
      </c>
      <c r="F926" s="41">
        <f>5995-5670+390</f>
        <v>715</v>
      </c>
    </row>
    <row r="927" spans="1:6" s="32" customFormat="1" x14ac:dyDescent="0.2">
      <c r="A927" s="84" t="s">
        <v>237</v>
      </c>
      <c r="B927" s="30" t="s">
        <v>522</v>
      </c>
      <c r="C927" s="30" t="s">
        <v>214</v>
      </c>
      <c r="D927" s="30" t="s">
        <v>235</v>
      </c>
      <c r="E927" s="30" t="s">
        <v>236</v>
      </c>
      <c r="F927" s="118">
        <f>F928</f>
        <v>210</v>
      </c>
    </row>
    <row r="928" spans="1:6" s="32" customFormat="1" x14ac:dyDescent="0.2">
      <c r="A928" s="84" t="s">
        <v>238</v>
      </c>
      <c r="B928" s="30" t="s">
        <v>522</v>
      </c>
      <c r="C928" s="30" t="s">
        <v>214</v>
      </c>
      <c r="D928" s="30" t="s">
        <v>235</v>
      </c>
      <c r="E928" s="30" t="s">
        <v>239</v>
      </c>
      <c r="F928" s="118">
        <f>600-390</f>
        <v>210</v>
      </c>
    </row>
    <row r="929" spans="1:6" s="32" customFormat="1" ht="13.5" x14ac:dyDescent="0.2">
      <c r="A929" s="165" t="s">
        <v>813</v>
      </c>
      <c r="B929" s="154" t="s">
        <v>383</v>
      </c>
      <c r="C929" s="154"/>
      <c r="D929" s="154"/>
      <c r="E929" s="154"/>
      <c r="F929" s="156">
        <f>F930</f>
        <v>7755</v>
      </c>
    </row>
    <row r="930" spans="1:6" s="32" customFormat="1" x14ac:dyDescent="0.2">
      <c r="A930" s="61" t="s">
        <v>256</v>
      </c>
      <c r="B930" s="24" t="s">
        <v>814</v>
      </c>
      <c r="C930" s="36" t="s">
        <v>214</v>
      </c>
      <c r="D930" s="36"/>
      <c r="E930" s="36"/>
      <c r="F930" s="111">
        <f>F931</f>
        <v>7755</v>
      </c>
    </row>
    <row r="931" spans="1:6" s="32" customFormat="1" x14ac:dyDescent="0.2">
      <c r="A931" s="61" t="s">
        <v>726</v>
      </c>
      <c r="B931" s="24" t="s">
        <v>814</v>
      </c>
      <c r="C931" s="36" t="s">
        <v>214</v>
      </c>
      <c r="D931" s="36" t="s">
        <v>235</v>
      </c>
      <c r="E931" s="36"/>
      <c r="F931" s="111">
        <f>F932+F934+F936</f>
        <v>7755</v>
      </c>
    </row>
    <row r="932" spans="1:6" s="32" customFormat="1" ht="36" x14ac:dyDescent="0.2">
      <c r="A932" s="64" t="s">
        <v>217</v>
      </c>
      <c r="B932" s="30" t="s">
        <v>814</v>
      </c>
      <c r="C932" s="30" t="s">
        <v>214</v>
      </c>
      <c r="D932" s="30" t="s">
        <v>235</v>
      </c>
      <c r="E932" s="30" t="s">
        <v>218</v>
      </c>
      <c r="F932" s="41">
        <f>F933</f>
        <v>7570</v>
      </c>
    </row>
    <row r="933" spans="1:6" s="32" customFormat="1" x14ac:dyDescent="0.2">
      <c r="A933" s="64" t="s">
        <v>820</v>
      </c>
      <c r="B933" s="30" t="s">
        <v>814</v>
      </c>
      <c r="C933" s="30" t="s">
        <v>214</v>
      </c>
      <c r="D933" s="30" t="s">
        <v>235</v>
      </c>
      <c r="E933" s="30" t="s">
        <v>821</v>
      </c>
      <c r="F933" s="41">
        <f>5070+2500</f>
        <v>7570</v>
      </c>
    </row>
    <row r="934" spans="1:6" s="32" customFormat="1" x14ac:dyDescent="0.2">
      <c r="A934" s="64" t="s">
        <v>473</v>
      </c>
      <c r="B934" s="30" t="s">
        <v>814</v>
      </c>
      <c r="C934" s="30" t="s">
        <v>214</v>
      </c>
      <c r="D934" s="30" t="s">
        <v>235</v>
      </c>
      <c r="E934" s="30" t="s">
        <v>226</v>
      </c>
      <c r="F934" s="118">
        <f>F935</f>
        <v>170</v>
      </c>
    </row>
    <row r="935" spans="1:6" s="32" customFormat="1" ht="24" x14ac:dyDescent="0.2">
      <c r="A935" s="64" t="s">
        <v>227</v>
      </c>
      <c r="B935" s="30" t="s">
        <v>814</v>
      </c>
      <c r="C935" s="30" t="s">
        <v>214</v>
      </c>
      <c r="D935" s="30" t="s">
        <v>235</v>
      </c>
      <c r="E935" s="30" t="s">
        <v>228</v>
      </c>
      <c r="F935" s="118">
        <v>170</v>
      </c>
    </row>
    <row r="936" spans="1:6" s="32" customFormat="1" x14ac:dyDescent="0.2">
      <c r="A936" s="64" t="s">
        <v>229</v>
      </c>
      <c r="B936" s="30" t="s">
        <v>814</v>
      </c>
      <c r="C936" s="30" t="s">
        <v>214</v>
      </c>
      <c r="D936" s="30" t="s">
        <v>235</v>
      </c>
      <c r="E936" s="30" t="s">
        <v>230</v>
      </c>
      <c r="F936" s="118">
        <f>F937</f>
        <v>15</v>
      </c>
    </row>
    <row r="937" spans="1:6" s="32" customFormat="1" x14ac:dyDescent="0.2">
      <c r="A937" s="64" t="s">
        <v>106</v>
      </c>
      <c r="B937" s="30" t="s">
        <v>814</v>
      </c>
      <c r="C937" s="30" t="s">
        <v>214</v>
      </c>
      <c r="D937" s="30" t="s">
        <v>235</v>
      </c>
      <c r="E937" s="30" t="s">
        <v>231</v>
      </c>
      <c r="F937" s="118">
        <v>15</v>
      </c>
    </row>
    <row r="938" spans="1:6" s="32" customFormat="1" ht="27" x14ac:dyDescent="0.2">
      <c r="A938" s="152" t="s">
        <v>278</v>
      </c>
      <c r="B938" s="154" t="s">
        <v>383</v>
      </c>
      <c r="C938" s="154"/>
      <c r="D938" s="154"/>
      <c r="E938" s="154"/>
      <c r="F938" s="156">
        <f>F939</f>
        <v>2350</v>
      </c>
    </row>
    <row r="939" spans="1:6" s="32" customFormat="1" x14ac:dyDescent="0.2">
      <c r="A939" s="61" t="s">
        <v>256</v>
      </c>
      <c r="B939" s="24" t="s">
        <v>523</v>
      </c>
      <c r="C939" s="36" t="s">
        <v>214</v>
      </c>
      <c r="D939" s="36"/>
      <c r="E939" s="24"/>
      <c r="F939" s="42">
        <f>F940</f>
        <v>2350</v>
      </c>
    </row>
    <row r="940" spans="1:6" s="32" customFormat="1" x14ac:dyDescent="0.2">
      <c r="A940" s="61" t="s">
        <v>726</v>
      </c>
      <c r="B940" s="24" t="s">
        <v>523</v>
      </c>
      <c r="C940" s="36" t="s">
        <v>214</v>
      </c>
      <c r="D940" s="36" t="s">
        <v>235</v>
      </c>
      <c r="E940" s="24"/>
      <c r="F940" s="42">
        <f>F941</f>
        <v>2350</v>
      </c>
    </row>
    <row r="941" spans="1:6" s="32" customFormat="1" ht="24" x14ac:dyDescent="0.2">
      <c r="A941" s="84" t="s">
        <v>246</v>
      </c>
      <c r="B941" s="30" t="s">
        <v>523</v>
      </c>
      <c r="C941" s="30" t="s">
        <v>214</v>
      </c>
      <c r="D941" s="30" t="s">
        <v>235</v>
      </c>
      <c r="E941" s="30" t="s">
        <v>702</v>
      </c>
      <c r="F941" s="41">
        <f>F942</f>
        <v>2350</v>
      </c>
    </row>
    <row r="942" spans="1:6" s="32" customFormat="1" x14ac:dyDescent="0.2">
      <c r="A942" s="84" t="s">
        <v>247</v>
      </c>
      <c r="B942" s="30" t="s">
        <v>523</v>
      </c>
      <c r="C942" s="30" t="s">
        <v>214</v>
      </c>
      <c r="D942" s="30" t="s">
        <v>235</v>
      </c>
      <c r="E942" s="30" t="s">
        <v>724</v>
      </c>
      <c r="F942" s="41">
        <f>1600+250+300+200</f>
        <v>2350</v>
      </c>
    </row>
    <row r="943" spans="1:6" s="32" customFormat="1" ht="30" customHeight="1" x14ac:dyDescent="0.2">
      <c r="A943" s="152" t="s">
        <v>280</v>
      </c>
      <c r="B943" s="154" t="s">
        <v>383</v>
      </c>
      <c r="C943" s="154"/>
      <c r="D943" s="154"/>
      <c r="E943" s="154"/>
      <c r="F943" s="156">
        <f>F944</f>
        <v>21000</v>
      </c>
    </row>
    <row r="944" spans="1:6" s="32" customFormat="1" x14ac:dyDescent="0.2">
      <c r="A944" s="61" t="s">
        <v>256</v>
      </c>
      <c r="B944" s="24" t="s">
        <v>180</v>
      </c>
      <c r="C944" s="24" t="s">
        <v>214</v>
      </c>
      <c r="D944" s="25"/>
      <c r="E944" s="24"/>
      <c r="F944" s="42">
        <f>F945</f>
        <v>21000</v>
      </c>
    </row>
    <row r="945" spans="1:6" s="32" customFormat="1" x14ac:dyDescent="0.2">
      <c r="A945" s="61" t="s">
        <v>726</v>
      </c>
      <c r="B945" s="24" t="s">
        <v>180</v>
      </c>
      <c r="C945" s="24" t="s">
        <v>214</v>
      </c>
      <c r="D945" s="24" t="s">
        <v>235</v>
      </c>
      <c r="E945" s="24"/>
      <c r="F945" s="42">
        <f>F946</f>
        <v>21000</v>
      </c>
    </row>
    <row r="946" spans="1:6" s="32" customFormat="1" x14ac:dyDescent="0.2">
      <c r="A946" s="64" t="s">
        <v>229</v>
      </c>
      <c r="B946" s="30" t="s">
        <v>180</v>
      </c>
      <c r="C946" s="30" t="s">
        <v>214</v>
      </c>
      <c r="D946" s="30" t="s">
        <v>235</v>
      </c>
      <c r="E946" s="30" t="s">
        <v>230</v>
      </c>
      <c r="F946" s="41">
        <f>F947</f>
        <v>21000</v>
      </c>
    </row>
    <row r="947" spans="1:6" s="32" customFormat="1" x14ac:dyDescent="0.2">
      <c r="A947" s="64" t="s">
        <v>311</v>
      </c>
      <c r="B947" s="30" t="s">
        <v>180</v>
      </c>
      <c r="C947" s="30" t="s">
        <v>214</v>
      </c>
      <c r="D947" s="30" t="s">
        <v>235</v>
      </c>
      <c r="E947" s="30" t="s">
        <v>231</v>
      </c>
      <c r="F947" s="41">
        <f>38500-2500-15000</f>
        <v>21000</v>
      </c>
    </row>
    <row r="948" spans="1:6" s="32" customFormat="1" ht="13.5" x14ac:dyDescent="0.2">
      <c r="A948" s="152" t="s">
        <v>281</v>
      </c>
      <c r="B948" s="154" t="s">
        <v>383</v>
      </c>
      <c r="C948" s="154"/>
      <c r="D948" s="154"/>
      <c r="E948" s="154"/>
      <c r="F948" s="229">
        <f>F949</f>
        <v>0</v>
      </c>
    </row>
    <row r="949" spans="1:6" s="32" customFormat="1" x14ac:dyDescent="0.2">
      <c r="A949" s="61" t="s">
        <v>256</v>
      </c>
      <c r="B949" s="24" t="s">
        <v>282</v>
      </c>
      <c r="C949" s="24" t="s">
        <v>214</v>
      </c>
      <c r="D949" s="25"/>
      <c r="E949" s="24"/>
      <c r="F949" s="227">
        <f>F950</f>
        <v>0</v>
      </c>
    </row>
    <row r="950" spans="1:6" s="32" customFormat="1" x14ac:dyDescent="0.2">
      <c r="A950" s="61" t="s">
        <v>726</v>
      </c>
      <c r="B950" s="24" t="s">
        <v>282</v>
      </c>
      <c r="C950" s="24" t="s">
        <v>214</v>
      </c>
      <c r="D950" s="24" t="s">
        <v>235</v>
      </c>
      <c r="E950" s="24"/>
      <c r="F950" s="227">
        <f>F951</f>
        <v>0</v>
      </c>
    </row>
    <row r="951" spans="1:6" s="32" customFormat="1" x14ac:dyDescent="0.2">
      <c r="A951" s="64" t="s">
        <v>229</v>
      </c>
      <c r="B951" s="30" t="s">
        <v>282</v>
      </c>
      <c r="C951" s="30" t="s">
        <v>214</v>
      </c>
      <c r="D951" s="30" t="s">
        <v>235</v>
      </c>
      <c r="E951" s="30" t="s">
        <v>230</v>
      </c>
      <c r="F951" s="228">
        <f>F952</f>
        <v>0</v>
      </c>
    </row>
    <row r="952" spans="1:6" s="32" customFormat="1" x14ac:dyDescent="0.2">
      <c r="A952" s="64" t="s">
        <v>311</v>
      </c>
      <c r="B952" s="30" t="s">
        <v>282</v>
      </c>
      <c r="C952" s="30" t="s">
        <v>214</v>
      </c>
      <c r="D952" s="30" t="s">
        <v>235</v>
      </c>
      <c r="E952" s="30" t="s">
        <v>231</v>
      </c>
      <c r="F952" s="228">
        <f>11000-11000</f>
        <v>0</v>
      </c>
    </row>
    <row r="953" spans="1:6" s="32" customFormat="1" ht="27" x14ac:dyDescent="0.2">
      <c r="A953" s="152" t="s">
        <v>654</v>
      </c>
      <c r="B953" s="154" t="s">
        <v>383</v>
      </c>
      <c r="C953" s="154"/>
      <c r="D953" s="154"/>
      <c r="E953" s="154"/>
      <c r="F953" s="156">
        <f>F954</f>
        <v>1000</v>
      </c>
    </row>
    <row r="954" spans="1:6" s="32" customFormat="1" ht="15" customHeight="1" x14ac:dyDescent="0.2">
      <c r="A954" s="61" t="s">
        <v>511</v>
      </c>
      <c r="B954" s="24" t="s">
        <v>195</v>
      </c>
      <c r="C954" s="24" t="s">
        <v>817</v>
      </c>
      <c r="D954" s="24"/>
      <c r="E954" s="24"/>
      <c r="F954" s="42">
        <f>F955</f>
        <v>1000</v>
      </c>
    </row>
    <row r="955" spans="1:6" s="32" customFormat="1" ht="24" x14ac:dyDescent="0.2">
      <c r="A955" s="80" t="s">
        <v>277</v>
      </c>
      <c r="B955" s="24" t="s">
        <v>195</v>
      </c>
      <c r="C955" s="24" t="s">
        <v>817</v>
      </c>
      <c r="D955" s="24" t="s">
        <v>818</v>
      </c>
      <c r="E955" s="24"/>
      <c r="F955" s="42">
        <f>F956</f>
        <v>1000</v>
      </c>
    </row>
    <row r="956" spans="1:6" s="32" customFormat="1" x14ac:dyDescent="0.2">
      <c r="A956" s="84" t="s">
        <v>473</v>
      </c>
      <c r="B956" s="30" t="s">
        <v>195</v>
      </c>
      <c r="C956" s="30" t="s">
        <v>817</v>
      </c>
      <c r="D956" s="30" t="s">
        <v>818</v>
      </c>
      <c r="E956" s="30" t="s">
        <v>226</v>
      </c>
      <c r="F956" s="41">
        <f>F957</f>
        <v>1000</v>
      </c>
    </row>
    <row r="957" spans="1:6" s="32" customFormat="1" ht="24" x14ac:dyDescent="0.2">
      <c r="A957" s="84" t="s">
        <v>227</v>
      </c>
      <c r="B957" s="30" t="s">
        <v>195</v>
      </c>
      <c r="C957" s="30" t="s">
        <v>817</v>
      </c>
      <c r="D957" s="30" t="s">
        <v>818</v>
      </c>
      <c r="E957" s="30" t="s">
        <v>228</v>
      </c>
      <c r="F957" s="41">
        <v>1000</v>
      </c>
    </row>
    <row r="958" spans="1:6" s="32" customFormat="1" ht="27" x14ac:dyDescent="0.2">
      <c r="A958" s="152" t="s">
        <v>33</v>
      </c>
      <c r="B958" s="154" t="s">
        <v>383</v>
      </c>
      <c r="C958" s="154"/>
      <c r="D958" s="154"/>
      <c r="E958" s="154"/>
      <c r="F958" s="156">
        <f>F959</f>
        <v>13200</v>
      </c>
    </row>
    <row r="959" spans="1:6" s="32" customFormat="1" ht="13.5" x14ac:dyDescent="0.2">
      <c r="A959" s="61" t="s">
        <v>655</v>
      </c>
      <c r="B959" s="24" t="s">
        <v>37</v>
      </c>
      <c r="C959" s="24" t="s">
        <v>216</v>
      </c>
      <c r="D959" s="53"/>
      <c r="E959" s="24"/>
      <c r="F959" s="42">
        <f>F960</f>
        <v>13200</v>
      </c>
    </row>
    <row r="960" spans="1:6" s="32" customFormat="1" x14ac:dyDescent="0.2">
      <c r="A960" s="61" t="s">
        <v>698</v>
      </c>
      <c r="B960" s="24" t="s">
        <v>37</v>
      </c>
      <c r="C960" s="24" t="s">
        <v>216</v>
      </c>
      <c r="D960" s="24" t="s">
        <v>823</v>
      </c>
      <c r="E960" s="24"/>
      <c r="F960" s="42">
        <f>F961</f>
        <v>13200</v>
      </c>
    </row>
    <row r="961" spans="1:6" s="32" customFormat="1" x14ac:dyDescent="0.2">
      <c r="A961" s="84" t="s">
        <v>473</v>
      </c>
      <c r="B961" s="30" t="s">
        <v>37</v>
      </c>
      <c r="C961" s="30" t="s">
        <v>216</v>
      </c>
      <c r="D961" s="30" t="s">
        <v>823</v>
      </c>
      <c r="E961" s="31">
        <v>200</v>
      </c>
      <c r="F961" s="41">
        <f>F962</f>
        <v>13200</v>
      </c>
    </row>
    <row r="962" spans="1:6" s="32" customFormat="1" ht="24" x14ac:dyDescent="0.2">
      <c r="A962" s="84" t="s">
        <v>227</v>
      </c>
      <c r="B962" s="30" t="s">
        <v>37</v>
      </c>
      <c r="C962" s="30" t="s">
        <v>216</v>
      </c>
      <c r="D962" s="30" t="s">
        <v>823</v>
      </c>
      <c r="E962" s="30" t="s">
        <v>228</v>
      </c>
      <c r="F962" s="41">
        <v>13200</v>
      </c>
    </row>
    <row r="963" spans="1:6" s="32" customFormat="1" ht="13.5" x14ac:dyDescent="0.2">
      <c r="A963" s="152" t="s">
        <v>34</v>
      </c>
      <c r="B963" s="154" t="s">
        <v>383</v>
      </c>
      <c r="C963" s="154"/>
      <c r="D963" s="154"/>
      <c r="E963" s="154"/>
      <c r="F963" s="156">
        <f>F964</f>
        <v>1500</v>
      </c>
    </row>
    <row r="964" spans="1:6" s="32" customFormat="1" ht="13.5" x14ac:dyDescent="0.2">
      <c r="A964" s="61" t="s">
        <v>655</v>
      </c>
      <c r="B964" s="24" t="s">
        <v>38</v>
      </c>
      <c r="C964" s="24" t="s">
        <v>216</v>
      </c>
      <c r="D964" s="53"/>
      <c r="E964" s="24"/>
      <c r="F964" s="42">
        <f>F965</f>
        <v>1500</v>
      </c>
    </row>
    <row r="965" spans="1:6" s="32" customFormat="1" x14ac:dyDescent="0.2">
      <c r="A965" s="61" t="s">
        <v>698</v>
      </c>
      <c r="B965" s="24" t="s">
        <v>38</v>
      </c>
      <c r="C965" s="24" t="s">
        <v>216</v>
      </c>
      <c r="D965" s="24" t="s">
        <v>823</v>
      </c>
      <c r="E965" s="24"/>
      <c r="F965" s="42">
        <f>F966</f>
        <v>1500</v>
      </c>
    </row>
    <row r="966" spans="1:6" s="32" customFormat="1" x14ac:dyDescent="0.2">
      <c r="A966" s="84" t="s">
        <v>473</v>
      </c>
      <c r="B966" s="30" t="s">
        <v>38</v>
      </c>
      <c r="C966" s="30" t="s">
        <v>216</v>
      </c>
      <c r="D966" s="30" t="s">
        <v>823</v>
      </c>
      <c r="E966" s="31">
        <v>200</v>
      </c>
      <c r="F966" s="41">
        <f>F967</f>
        <v>1500</v>
      </c>
    </row>
    <row r="967" spans="1:6" s="32" customFormat="1" ht="24" x14ac:dyDescent="0.2">
      <c r="A967" s="84" t="s">
        <v>227</v>
      </c>
      <c r="B967" s="30" t="s">
        <v>38</v>
      </c>
      <c r="C967" s="30" t="s">
        <v>216</v>
      </c>
      <c r="D967" s="30" t="s">
        <v>823</v>
      </c>
      <c r="E967" s="30" t="s">
        <v>228</v>
      </c>
      <c r="F967" s="41">
        <v>1500</v>
      </c>
    </row>
    <row r="968" spans="1:6" s="32" customFormat="1" ht="27" x14ac:dyDescent="0.2">
      <c r="A968" s="152" t="s">
        <v>35</v>
      </c>
      <c r="B968" s="154" t="s">
        <v>383</v>
      </c>
      <c r="C968" s="154"/>
      <c r="D968" s="154"/>
      <c r="E968" s="154"/>
      <c r="F968" s="156">
        <f>F969</f>
        <v>4000</v>
      </c>
    </row>
    <row r="969" spans="1:6" s="32" customFormat="1" ht="13.5" x14ac:dyDescent="0.2">
      <c r="A969" s="61" t="s">
        <v>655</v>
      </c>
      <c r="B969" s="24" t="s">
        <v>39</v>
      </c>
      <c r="C969" s="24" t="s">
        <v>216</v>
      </c>
      <c r="D969" s="53"/>
      <c r="E969" s="24"/>
      <c r="F969" s="42">
        <f>F970</f>
        <v>4000</v>
      </c>
    </row>
    <row r="970" spans="1:6" s="32" customFormat="1" x14ac:dyDescent="0.2">
      <c r="A970" s="61" t="s">
        <v>698</v>
      </c>
      <c r="B970" s="24" t="s">
        <v>39</v>
      </c>
      <c r="C970" s="24" t="s">
        <v>216</v>
      </c>
      <c r="D970" s="24" t="s">
        <v>823</v>
      </c>
      <c r="E970" s="24"/>
      <c r="F970" s="42">
        <f>F971</f>
        <v>4000</v>
      </c>
    </row>
    <row r="971" spans="1:6" s="32" customFormat="1" x14ac:dyDescent="0.2">
      <c r="A971" s="84" t="s">
        <v>473</v>
      </c>
      <c r="B971" s="30" t="s">
        <v>39</v>
      </c>
      <c r="C971" s="30" t="s">
        <v>216</v>
      </c>
      <c r="D971" s="30" t="s">
        <v>823</v>
      </c>
      <c r="E971" s="31">
        <v>200</v>
      </c>
      <c r="F971" s="41">
        <f>F972</f>
        <v>4000</v>
      </c>
    </row>
    <row r="972" spans="1:6" s="32" customFormat="1" ht="24" x14ac:dyDescent="0.2">
      <c r="A972" s="84" t="s">
        <v>227</v>
      </c>
      <c r="B972" s="30" t="s">
        <v>39</v>
      </c>
      <c r="C972" s="30" t="s">
        <v>216</v>
      </c>
      <c r="D972" s="30" t="s">
        <v>823</v>
      </c>
      <c r="E972" s="30" t="s">
        <v>228</v>
      </c>
      <c r="F972" s="41">
        <v>4000</v>
      </c>
    </row>
    <row r="973" spans="1:6" s="32" customFormat="1" ht="27" x14ac:dyDescent="0.2">
      <c r="A973" s="152" t="s">
        <v>36</v>
      </c>
      <c r="B973" s="154" t="s">
        <v>383</v>
      </c>
      <c r="C973" s="154"/>
      <c r="D973" s="154"/>
      <c r="E973" s="154"/>
      <c r="F973" s="156">
        <f>F974</f>
        <v>300</v>
      </c>
    </row>
    <row r="974" spans="1:6" s="32" customFormat="1" ht="13.5" x14ac:dyDescent="0.2">
      <c r="A974" s="61" t="s">
        <v>655</v>
      </c>
      <c r="B974" s="24" t="s">
        <v>544</v>
      </c>
      <c r="C974" s="24" t="s">
        <v>216</v>
      </c>
      <c r="D974" s="53"/>
      <c r="E974" s="24"/>
      <c r="F974" s="42">
        <f>F975</f>
        <v>300</v>
      </c>
    </row>
    <row r="975" spans="1:6" s="32" customFormat="1" x14ac:dyDescent="0.2">
      <c r="A975" s="61" t="s">
        <v>698</v>
      </c>
      <c r="B975" s="24" t="s">
        <v>544</v>
      </c>
      <c r="C975" s="24" t="s">
        <v>216</v>
      </c>
      <c r="D975" s="24" t="s">
        <v>823</v>
      </c>
      <c r="E975" s="24"/>
      <c r="F975" s="42">
        <f>F976</f>
        <v>300</v>
      </c>
    </row>
    <row r="976" spans="1:6" s="32" customFormat="1" x14ac:dyDescent="0.2">
      <c r="A976" s="84" t="s">
        <v>473</v>
      </c>
      <c r="B976" s="30" t="s">
        <v>544</v>
      </c>
      <c r="C976" s="30" t="s">
        <v>216</v>
      </c>
      <c r="D976" s="30" t="s">
        <v>823</v>
      </c>
      <c r="E976" s="31">
        <v>200</v>
      </c>
      <c r="F976" s="41">
        <f>F977</f>
        <v>300</v>
      </c>
    </row>
    <row r="977" spans="1:6" s="32" customFormat="1" ht="24" x14ac:dyDescent="0.2">
      <c r="A977" s="84" t="s">
        <v>227</v>
      </c>
      <c r="B977" s="30" t="s">
        <v>544</v>
      </c>
      <c r="C977" s="30" t="s">
        <v>216</v>
      </c>
      <c r="D977" s="30" t="s">
        <v>823</v>
      </c>
      <c r="E977" s="30" t="s">
        <v>228</v>
      </c>
      <c r="F977" s="41">
        <v>300</v>
      </c>
    </row>
    <row r="978" spans="1:6" s="32" customFormat="1" ht="27" x14ac:dyDescent="0.2">
      <c r="A978" s="165" t="s">
        <v>694</v>
      </c>
      <c r="B978" s="154" t="s">
        <v>383</v>
      </c>
      <c r="C978" s="154"/>
      <c r="D978" s="154"/>
      <c r="E978" s="154"/>
      <c r="F978" s="156">
        <f>F979</f>
        <v>15500</v>
      </c>
    </row>
    <row r="979" spans="1:6" s="32" customFormat="1" x14ac:dyDescent="0.2">
      <c r="A979" s="61" t="s">
        <v>700</v>
      </c>
      <c r="B979" s="24" t="s">
        <v>545</v>
      </c>
      <c r="C979" s="24" t="s">
        <v>107</v>
      </c>
      <c r="D979" s="24"/>
      <c r="E979" s="24"/>
      <c r="F979" s="42">
        <f>F980</f>
        <v>15500</v>
      </c>
    </row>
    <row r="980" spans="1:6" s="32" customFormat="1" x14ac:dyDescent="0.2">
      <c r="A980" s="61" t="s">
        <v>681</v>
      </c>
      <c r="B980" s="24" t="s">
        <v>545</v>
      </c>
      <c r="C980" s="24" t="s">
        <v>107</v>
      </c>
      <c r="D980" s="24" t="s">
        <v>214</v>
      </c>
      <c r="E980" s="24"/>
      <c r="F980" s="42">
        <f>F981</f>
        <v>15500</v>
      </c>
    </row>
    <row r="981" spans="1:6" s="32" customFormat="1" x14ac:dyDescent="0.2">
      <c r="A981" s="64" t="s">
        <v>237</v>
      </c>
      <c r="B981" s="30" t="s">
        <v>545</v>
      </c>
      <c r="C981" s="30" t="s">
        <v>107</v>
      </c>
      <c r="D981" s="30" t="s">
        <v>214</v>
      </c>
      <c r="E981" s="30" t="s">
        <v>236</v>
      </c>
      <c r="F981" s="41">
        <f>F982</f>
        <v>15500</v>
      </c>
    </row>
    <row r="982" spans="1:6" s="32" customFormat="1" x14ac:dyDescent="0.2">
      <c r="A982" s="64" t="s">
        <v>314</v>
      </c>
      <c r="B982" s="30" t="s">
        <v>545</v>
      </c>
      <c r="C982" s="30" t="s">
        <v>107</v>
      </c>
      <c r="D982" s="30" t="s">
        <v>214</v>
      </c>
      <c r="E982" s="30" t="s">
        <v>110</v>
      </c>
      <c r="F982" s="41">
        <v>15500</v>
      </c>
    </row>
    <row r="983" spans="1:6" s="32" customFormat="1" ht="13.5" x14ac:dyDescent="0.2">
      <c r="A983" s="165" t="s">
        <v>756</v>
      </c>
      <c r="B983" s="154" t="s">
        <v>383</v>
      </c>
      <c r="C983" s="154"/>
      <c r="D983" s="154"/>
      <c r="E983" s="154"/>
      <c r="F983" s="156">
        <f>F984</f>
        <v>8877.4</v>
      </c>
    </row>
    <row r="984" spans="1:6" s="32" customFormat="1" ht="13.5" x14ac:dyDescent="0.2">
      <c r="A984" s="61" t="s">
        <v>256</v>
      </c>
      <c r="B984" s="24" t="s">
        <v>546</v>
      </c>
      <c r="C984" s="24" t="s">
        <v>214</v>
      </c>
      <c r="D984" s="53"/>
      <c r="E984" s="53"/>
      <c r="F984" s="42">
        <f>F985</f>
        <v>8877.4</v>
      </c>
    </row>
    <row r="985" spans="1:6" s="32" customFormat="1" ht="13.5" x14ac:dyDescent="0.2">
      <c r="A985" s="61" t="s">
        <v>271</v>
      </c>
      <c r="B985" s="24" t="s">
        <v>546</v>
      </c>
      <c r="C985" s="24" t="s">
        <v>214</v>
      </c>
      <c r="D985" s="24" t="s">
        <v>824</v>
      </c>
      <c r="E985" s="168"/>
      <c r="F985" s="111">
        <f>F986</f>
        <v>8877.4</v>
      </c>
    </row>
    <row r="986" spans="1:6" s="32" customFormat="1" x14ac:dyDescent="0.2">
      <c r="A986" s="64" t="s">
        <v>229</v>
      </c>
      <c r="B986" s="30" t="s">
        <v>546</v>
      </c>
      <c r="C986" s="30" t="s">
        <v>214</v>
      </c>
      <c r="D986" s="30" t="s">
        <v>824</v>
      </c>
      <c r="E986" s="30" t="s">
        <v>230</v>
      </c>
      <c r="F986" s="41">
        <f>F987</f>
        <v>8877.4</v>
      </c>
    </row>
    <row r="987" spans="1:6" s="32" customFormat="1" x14ac:dyDescent="0.2">
      <c r="A987" s="64" t="s">
        <v>272</v>
      </c>
      <c r="B987" s="30" t="s">
        <v>546</v>
      </c>
      <c r="C987" s="30" t="s">
        <v>214</v>
      </c>
      <c r="D987" s="30" t="s">
        <v>824</v>
      </c>
      <c r="E987" s="30" t="s">
        <v>273</v>
      </c>
      <c r="F987" s="41">
        <f>550+8327.4</f>
        <v>8877.4</v>
      </c>
    </row>
    <row r="988" spans="1:6" s="32" customFormat="1" ht="13.5" x14ac:dyDescent="0.2">
      <c r="A988" s="165" t="s">
        <v>164</v>
      </c>
      <c r="B988" s="154" t="s">
        <v>383</v>
      </c>
      <c r="C988" s="154"/>
      <c r="D988" s="154"/>
      <c r="E988" s="154"/>
      <c r="F988" s="156">
        <f>F989</f>
        <v>3655.6</v>
      </c>
    </row>
    <row r="989" spans="1:6" s="32" customFormat="1" ht="12.75" customHeight="1" x14ac:dyDescent="0.2">
      <c r="A989" s="61" t="s">
        <v>511</v>
      </c>
      <c r="B989" s="24" t="s">
        <v>552</v>
      </c>
      <c r="C989" s="24" t="s">
        <v>817</v>
      </c>
      <c r="D989" s="30"/>
      <c r="E989" s="30"/>
      <c r="F989" s="42">
        <f>F990</f>
        <v>3655.6</v>
      </c>
    </row>
    <row r="990" spans="1:6" s="32" customFormat="1" ht="15" customHeight="1" x14ac:dyDescent="0.2">
      <c r="A990" s="61" t="s">
        <v>819</v>
      </c>
      <c r="B990" s="24" t="s">
        <v>552</v>
      </c>
      <c r="C990" s="24" t="s">
        <v>817</v>
      </c>
      <c r="D990" s="24" t="s">
        <v>818</v>
      </c>
      <c r="E990" s="24"/>
      <c r="F990" s="42">
        <f>F991+F993+F995</f>
        <v>3655.6</v>
      </c>
    </row>
    <row r="991" spans="1:6" s="32" customFormat="1" ht="36" x14ac:dyDescent="0.2">
      <c r="A991" s="64" t="s">
        <v>217</v>
      </c>
      <c r="B991" s="30" t="s">
        <v>552</v>
      </c>
      <c r="C991" s="30" t="s">
        <v>817</v>
      </c>
      <c r="D991" s="30" t="s">
        <v>818</v>
      </c>
      <c r="E991" s="30" t="s">
        <v>218</v>
      </c>
      <c r="F991" s="41">
        <f>F992</f>
        <v>3374</v>
      </c>
    </row>
    <row r="992" spans="1:6" s="32" customFormat="1" x14ac:dyDescent="0.2">
      <c r="A992" s="64" t="s">
        <v>820</v>
      </c>
      <c r="B992" s="30" t="s">
        <v>552</v>
      </c>
      <c r="C992" s="30" t="s">
        <v>817</v>
      </c>
      <c r="D992" s="30" t="s">
        <v>818</v>
      </c>
      <c r="E992" s="30" t="s">
        <v>821</v>
      </c>
      <c r="F992" s="41">
        <v>3374</v>
      </c>
    </row>
    <row r="993" spans="1:6" s="32" customFormat="1" x14ac:dyDescent="0.2">
      <c r="A993" s="64" t="s">
        <v>473</v>
      </c>
      <c r="B993" s="30" t="s">
        <v>552</v>
      </c>
      <c r="C993" s="30" t="s">
        <v>817</v>
      </c>
      <c r="D993" s="30" t="s">
        <v>818</v>
      </c>
      <c r="E993" s="30" t="s">
        <v>226</v>
      </c>
      <c r="F993" s="41">
        <f>F994</f>
        <v>271</v>
      </c>
    </row>
    <row r="994" spans="1:6" s="32" customFormat="1" ht="24" x14ac:dyDescent="0.2">
      <c r="A994" s="64" t="s">
        <v>227</v>
      </c>
      <c r="B994" s="30" t="s">
        <v>552</v>
      </c>
      <c r="C994" s="30" t="s">
        <v>817</v>
      </c>
      <c r="D994" s="30" t="s">
        <v>818</v>
      </c>
      <c r="E994" s="30" t="s">
        <v>228</v>
      </c>
      <c r="F994" s="41">
        <f>171+100</f>
        <v>271</v>
      </c>
    </row>
    <row r="995" spans="1:6" s="32" customFormat="1" x14ac:dyDescent="0.2">
      <c r="A995" s="64" t="s">
        <v>229</v>
      </c>
      <c r="B995" s="30" t="s">
        <v>552</v>
      </c>
      <c r="C995" s="30" t="s">
        <v>817</v>
      </c>
      <c r="D995" s="30" t="s">
        <v>818</v>
      </c>
      <c r="E995" s="30" t="s">
        <v>230</v>
      </c>
      <c r="F995" s="41">
        <f>F996</f>
        <v>10.6</v>
      </c>
    </row>
    <row r="996" spans="1:6" s="32" customFormat="1" x14ac:dyDescent="0.2">
      <c r="A996" s="64" t="s">
        <v>311</v>
      </c>
      <c r="B996" s="30" t="s">
        <v>552</v>
      </c>
      <c r="C996" s="30" t="s">
        <v>817</v>
      </c>
      <c r="D996" s="30" t="s">
        <v>818</v>
      </c>
      <c r="E996" s="30" t="s">
        <v>231</v>
      </c>
      <c r="F996" s="41">
        <f>3+7.6</f>
        <v>10.6</v>
      </c>
    </row>
    <row r="997" spans="1:6" s="32" customFormat="1" ht="13.5" x14ac:dyDescent="0.2">
      <c r="A997" s="165" t="s">
        <v>510</v>
      </c>
      <c r="B997" s="154" t="s">
        <v>383</v>
      </c>
      <c r="C997" s="154"/>
      <c r="D997" s="154"/>
      <c r="E997" s="154"/>
      <c r="F997" s="156">
        <f>F998</f>
        <v>8162.7306699999999</v>
      </c>
    </row>
    <row r="998" spans="1:6" s="32" customFormat="1" x14ac:dyDescent="0.2">
      <c r="A998" s="61" t="s">
        <v>256</v>
      </c>
      <c r="B998" s="24" t="s">
        <v>147</v>
      </c>
      <c r="C998" s="24" t="s">
        <v>214</v>
      </c>
      <c r="D998" s="25"/>
      <c r="E998" s="30"/>
      <c r="F998" s="42">
        <f>F999</f>
        <v>8162.7306699999999</v>
      </c>
    </row>
    <row r="999" spans="1:6" s="32" customFormat="1" x14ac:dyDescent="0.2">
      <c r="A999" s="61" t="s">
        <v>726</v>
      </c>
      <c r="B999" s="24" t="s">
        <v>147</v>
      </c>
      <c r="C999" s="24" t="s">
        <v>214</v>
      </c>
      <c r="D999" s="24" t="s">
        <v>235</v>
      </c>
      <c r="E999" s="24"/>
      <c r="F999" s="42">
        <f>F1000</f>
        <v>8162.7306699999999</v>
      </c>
    </row>
    <row r="1000" spans="1:6" s="32" customFormat="1" x14ac:dyDescent="0.2">
      <c r="A1000" s="64" t="s">
        <v>229</v>
      </c>
      <c r="B1000" s="30" t="s">
        <v>147</v>
      </c>
      <c r="C1000" s="30" t="s">
        <v>214</v>
      </c>
      <c r="D1000" s="30" t="s">
        <v>235</v>
      </c>
      <c r="E1000" s="30" t="s">
        <v>230</v>
      </c>
      <c r="F1000" s="41">
        <f>F1001+F1002</f>
        <v>8162.7306699999999</v>
      </c>
    </row>
    <row r="1001" spans="1:6" s="32" customFormat="1" x14ac:dyDescent="0.2">
      <c r="A1001" s="64" t="s">
        <v>306</v>
      </c>
      <c r="B1001" s="30" t="s">
        <v>147</v>
      </c>
      <c r="C1001" s="30" t="s">
        <v>214</v>
      </c>
      <c r="D1001" s="30" t="s">
        <v>235</v>
      </c>
      <c r="E1001" s="30" t="s">
        <v>310</v>
      </c>
      <c r="F1001" s="41">
        <f>5965.73067+2167</f>
        <v>8132.7306699999999</v>
      </c>
    </row>
    <row r="1002" spans="1:6" s="32" customFormat="1" x14ac:dyDescent="0.2">
      <c r="A1002" s="64" t="s">
        <v>311</v>
      </c>
      <c r="B1002" s="30" t="s">
        <v>147</v>
      </c>
      <c r="C1002" s="30" t="s">
        <v>214</v>
      </c>
      <c r="D1002" s="30" t="s">
        <v>235</v>
      </c>
      <c r="E1002" s="30" t="s">
        <v>231</v>
      </c>
      <c r="F1002" s="41">
        <v>30</v>
      </c>
    </row>
    <row r="1003" spans="1:6" s="32" customFormat="1" ht="13.5" x14ac:dyDescent="0.2">
      <c r="A1003" s="165" t="s">
        <v>168</v>
      </c>
      <c r="B1003" s="154" t="s">
        <v>383</v>
      </c>
      <c r="C1003" s="154"/>
      <c r="D1003" s="154"/>
      <c r="E1003" s="154"/>
      <c r="F1003" s="156">
        <f>F1004</f>
        <v>4414</v>
      </c>
    </row>
    <row r="1004" spans="1:6" s="32" customFormat="1" x14ac:dyDescent="0.2">
      <c r="A1004" s="61" t="s">
        <v>692</v>
      </c>
      <c r="B1004" s="24" t="s">
        <v>555</v>
      </c>
      <c r="C1004" s="24" t="s">
        <v>823</v>
      </c>
      <c r="D1004" s="24"/>
      <c r="E1004" s="24"/>
      <c r="F1004" s="42">
        <f>F1005</f>
        <v>4414</v>
      </c>
    </row>
    <row r="1005" spans="1:6" s="32" customFormat="1" x14ac:dyDescent="0.2">
      <c r="A1005" s="61" t="s">
        <v>679</v>
      </c>
      <c r="B1005" s="24" t="s">
        <v>555</v>
      </c>
      <c r="C1005" s="24" t="s">
        <v>823</v>
      </c>
      <c r="D1005" s="24" t="s">
        <v>214</v>
      </c>
      <c r="E1005" s="24"/>
      <c r="F1005" s="42">
        <f>F1006+F1008+F1010</f>
        <v>4414</v>
      </c>
    </row>
    <row r="1006" spans="1:6" s="32" customFormat="1" ht="36" x14ac:dyDescent="0.2">
      <c r="A1006" s="64" t="s">
        <v>217</v>
      </c>
      <c r="B1006" s="30" t="s">
        <v>555</v>
      </c>
      <c r="C1006" s="30" t="s">
        <v>823</v>
      </c>
      <c r="D1006" s="30" t="s">
        <v>214</v>
      </c>
      <c r="E1006" s="30" t="s">
        <v>218</v>
      </c>
      <c r="F1006" s="41">
        <f>F1007</f>
        <v>3071</v>
      </c>
    </row>
    <row r="1007" spans="1:6" s="32" customFormat="1" x14ac:dyDescent="0.2">
      <c r="A1007" s="64" t="s">
        <v>820</v>
      </c>
      <c r="B1007" s="30" t="s">
        <v>555</v>
      </c>
      <c r="C1007" s="30" t="s">
        <v>823</v>
      </c>
      <c r="D1007" s="30" t="s">
        <v>214</v>
      </c>
      <c r="E1007" s="30" t="s">
        <v>821</v>
      </c>
      <c r="F1007" s="41">
        <v>3071</v>
      </c>
    </row>
    <row r="1008" spans="1:6" s="32" customFormat="1" x14ac:dyDescent="0.2">
      <c r="A1008" s="64" t="s">
        <v>473</v>
      </c>
      <c r="B1008" s="30" t="s">
        <v>555</v>
      </c>
      <c r="C1008" s="30" t="s">
        <v>823</v>
      </c>
      <c r="D1008" s="30" t="s">
        <v>214</v>
      </c>
      <c r="E1008" s="30" t="s">
        <v>226</v>
      </c>
      <c r="F1008" s="41">
        <f>F1009</f>
        <v>1337</v>
      </c>
    </row>
    <row r="1009" spans="1:6" s="32" customFormat="1" ht="24" x14ac:dyDescent="0.2">
      <c r="A1009" s="64" t="s">
        <v>227</v>
      </c>
      <c r="B1009" s="30" t="s">
        <v>555</v>
      </c>
      <c r="C1009" s="30" t="s">
        <v>823</v>
      </c>
      <c r="D1009" s="30" t="s">
        <v>214</v>
      </c>
      <c r="E1009" s="30" t="s">
        <v>228</v>
      </c>
      <c r="F1009" s="41">
        <f>617+720</f>
        <v>1337</v>
      </c>
    </row>
    <row r="1010" spans="1:6" s="32" customFormat="1" x14ac:dyDescent="0.2">
      <c r="A1010" s="64" t="s">
        <v>229</v>
      </c>
      <c r="B1010" s="30" t="s">
        <v>555</v>
      </c>
      <c r="C1010" s="30" t="s">
        <v>823</v>
      </c>
      <c r="D1010" s="30" t="s">
        <v>214</v>
      </c>
      <c r="E1010" s="30" t="s">
        <v>230</v>
      </c>
      <c r="F1010" s="41">
        <f>F1011</f>
        <v>6</v>
      </c>
    </row>
    <row r="1011" spans="1:6" s="32" customFormat="1" x14ac:dyDescent="0.2">
      <c r="A1011" s="64" t="s">
        <v>311</v>
      </c>
      <c r="B1011" s="30" t="s">
        <v>555</v>
      </c>
      <c r="C1011" s="30" t="s">
        <v>823</v>
      </c>
      <c r="D1011" s="30" t="s">
        <v>214</v>
      </c>
      <c r="E1011" s="30" t="s">
        <v>231</v>
      </c>
      <c r="F1011" s="41">
        <v>6</v>
      </c>
    </row>
    <row r="1012" spans="1:6" s="32" customFormat="1" ht="27" x14ac:dyDescent="0.2">
      <c r="A1012" s="165" t="s">
        <v>171</v>
      </c>
      <c r="B1012" s="154" t="s">
        <v>383</v>
      </c>
      <c r="C1012" s="154"/>
      <c r="D1012" s="154"/>
      <c r="E1012" s="154"/>
      <c r="F1012" s="156">
        <f>F1013</f>
        <v>6280</v>
      </c>
    </row>
    <row r="1013" spans="1:6" s="32" customFormat="1" x14ac:dyDescent="0.2">
      <c r="A1013" s="61" t="s">
        <v>692</v>
      </c>
      <c r="B1013" s="24" t="s">
        <v>556</v>
      </c>
      <c r="C1013" s="24" t="s">
        <v>823</v>
      </c>
      <c r="D1013" s="30"/>
      <c r="E1013" s="30"/>
      <c r="F1013" s="42">
        <f>F1014</f>
        <v>6280</v>
      </c>
    </row>
    <row r="1014" spans="1:6" s="32" customFormat="1" x14ac:dyDescent="0.2">
      <c r="A1014" s="61" t="s">
        <v>680</v>
      </c>
      <c r="B1014" s="24" t="s">
        <v>556</v>
      </c>
      <c r="C1014" s="24" t="s">
        <v>823</v>
      </c>
      <c r="D1014" s="24" t="s">
        <v>825</v>
      </c>
      <c r="E1014" s="30"/>
      <c r="F1014" s="42">
        <f>F1015</f>
        <v>6280</v>
      </c>
    </row>
    <row r="1015" spans="1:6" s="32" customFormat="1" ht="24" x14ac:dyDescent="0.2">
      <c r="A1015" s="64" t="s">
        <v>246</v>
      </c>
      <c r="B1015" s="30" t="s">
        <v>556</v>
      </c>
      <c r="C1015" s="30" t="s">
        <v>823</v>
      </c>
      <c r="D1015" s="30" t="s">
        <v>825</v>
      </c>
      <c r="E1015" s="30" t="s">
        <v>702</v>
      </c>
      <c r="F1015" s="41">
        <f>F1016</f>
        <v>6280</v>
      </c>
    </row>
    <row r="1016" spans="1:6" s="32" customFormat="1" x14ac:dyDescent="0.2">
      <c r="A1016" s="64" t="s">
        <v>247</v>
      </c>
      <c r="B1016" s="30" t="s">
        <v>556</v>
      </c>
      <c r="C1016" s="30" t="s">
        <v>823</v>
      </c>
      <c r="D1016" s="30" t="s">
        <v>825</v>
      </c>
      <c r="E1016" s="30" t="s">
        <v>724</v>
      </c>
      <c r="F1016" s="41">
        <f>7000-720</f>
        <v>6280</v>
      </c>
    </row>
    <row r="1017" spans="1:6" s="32" customFormat="1" ht="13.5" x14ac:dyDescent="0.2">
      <c r="A1017" s="165" t="s">
        <v>716</v>
      </c>
      <c r="B1017" s="154" t="s">
        <v>383</v>
      </c>
      <c r="C1017" s="154"/>
      <c r="D1017" s="154"/>
      <c r="E1017" s="154"/>
      <c r="F1017" s="156">
        <f>F1018</f>
        <v>750</v>
      </c>
    </row>
    <row r="1018" spans="1:6" s="32" customFormat="1" x14ac:dyDescent="0.2">
      <c r="A1018" s="61" t="s">
        <v>673</v>
      </c>
      <c r="B1018" s="24" t="s">
        <v>42</v>
      </c>
      <c r="C1018" s="24" t="s">
        <v>824</v>
      </c>
      <c r="D1018" s="24"/>
      <c r="E1018" s="78"/>
      <c r="F1018" s="42">
        <f>F1019</f>
        <v>750</v>
      </c>
    </row>
    <row r="1019" spans="1:6" s="32" customFormat="1" x14ac:dyDescent="0.2">
      <c r="A1019" s="66" t="s">
        <v>676</v>
      </c>
      <c r="B1019" s="24" t="s">
        <v>42</v>
      </c>
      <c r="C1019" s="24" t="s">
        <v>824</v>
      </c>
      <c r="D1019" s="24" t="s">
        <v>824</v>
      </c>
      <c r="E1019" s="24"/>
      <c r="F1019" s="42">
        <f>F1020+F1022</f>
        <v>750</v>
      </c>
    </row>
    <row r="1020" spans="1:6" s="32" customFormat="1" x14ac:dyDescent="0.2">
      <c r="A1020" s="64" t="s">
        <v>473</v>
      </c>
      <c r="B1020" s="30" t="s">
        <v>42</v>
      </c>
      <c r="C1020" s="30" t="s">
        <v>824</v>
      </c>
      <c r="D1020" s="30" t="s">
        <v>824</v>
      </c>
      <c r="E1020" s="30" t="s">
        <v>226</v>
      </c>
      <c r="F1020" s="41">
        <f>F1021</f>
        <v>297</v>
      </c>
    </row>
    <row r="1021" spans="1:6" s="32" customFormat="1" ht="24" x14ac:dyDescent="0.2">
      <c r="A1021" s="64" t="s">
        <v>227</v>
      </c>
      <c r="B1021" s="30" t="s">
        <v>42</v>
      </c>
      <c r="C1021" s="30" t="s">
        <v>824</v>
      </c>
      <c r="D1021" s="30" t="s">
        <v>824</v>
      </c>
      <c r="E1021" s="30" t="s">
        <v>228</v>
      </c>
      <c r="F1021" s="41">
        <v>297</v>
      </c>
    </row>
    <row r="1022" spans="1:6" s="32" customFormat="1" ht="24" x14ac:dyDescent="0.2">
      <c r="A1022" s="84" t="s">
        <v>246</v>
      </c>
      <c r="B1022" s="30" t="s">
        <v>42</v>
      </c>
      <c r="C1022" s="30" t="s">
        <v>824</v>
      </c>
      <c r="D1022" s="30" t="s">
        <v>824</v>
      </c>
      <c r="E1022" s="30" t="s">
        <v>702</v>
      </c>
      <c r="F1022" s="41">
        <f>F1023</f>
        <v>453</v>
      </c>
    </row>
    <row r="1023" spans="1:6" s="32" customFormat="1" x14ac:dyDescent="0.2">
      <c r="A1023" s="84" t="s">
        <v>247</v>
      </c>
      <c r="B1023" s="30" t="s">
        <v>42</v>
      </c>
      <c r="C1023" s="30" t="s">
        <v>824</v>
      </c>
      <c r="D1023" s="30" t="s">
        <v>824</v>
      </c>
      <c r="E1023" s="30" t="s">
        <v>724</v>
      </c>
      <c r="F1023" s="41">
        <v>453</v>
      </c>
    </row>
    <row r="1024" spans="1:6" s="32" customFormat="1" ht="27" x14ac:dyDescent="0.2">
      <c r="A1024" s="165" t="s">
        <v>493</v>
      </c>
      <c r="B1024" s="154" t="s">
        <v>383</v>
      </c>
      <c r="C1024" s="154"/>
      <c r="D1024" s="154"/>
      <c r="E1024" s="155"/>
      <c r="F1024" s="156">
        <f>F1025</f>
        <v>1000</v>
      </c>
    </row>
    <row r="1025" spans="1:6" s="32" customFormat="1" x14ac:dyDescent="0.2">
      <c r="A1025" s="61" t="s">
        <v>256</v>
      </c>
      <c r="B1025" s="24" t="s">
        <v>268</v>
      </c>
      <c r="C1025" s="24" t="s">
        <v>214</v>
      </c>
      <c r="D1025" s="25"/>
      <c r="E1025" s="67"/>
      <c r="F1025" s="42">
        <f>F1026</f>
        <v>1000</v>
      </c>
    </row>
    <row r="1026" spans="1:6" s="32" customFormat="1" x14ac:dyDescent="0.2">
      <c r="A1026" s="61" t="s">
        <v>726</v>
      </c>
      <c r="B1026" s="24" t="s">
        <v>268</v>
      </c>
      <c r="C1026" s="24" t="s">
        <v>214</v>
      </c>
      <c r="D1026" s="24" t="s">
        <v>235</v>
      </c>
      <c r="E1026" s="24"/>
      <c r="F1026" s="42">
        <f>F1027</f>
        <v>1000</v>
      </c>
    </row>
    <row r="1027" spans="1:6" s="32" customFormat="1" x14ac:dyDescent="0.2">
      <c r="A1027" s="64" t="s">
        <v>473</v>
      </c>
      <c r="B1027" s="30" t="s">
        <v>268</v>
      </c>
      <c r="C1027" s="30" t="s">
        <v>214</v>
      </c>
      <c r="D1027" s="30" t="s">
        <v>235</v>
      </c>
      <c r="E1027" s="31">
        <v>200</v>
      </c>
      <c r="F1027" s="41">
        <f>F1028</f>
        <v>1000</v>
      </c>
    </row>
    <row r="1028" spans="1:6" s="32" customFormat="1" ht="24" x14ac:dyDescent="0.2">
      <c r="A1028" s="64" t="s">
        <v>227</v>
      </c>
      <c r="B1028" s="30" t="s">
        <v>268</v>
      </c>
      <c r="C1028" s="30" t="s">
        <v>214</v>
      </c>
      <c r="D1028" s="30" t="s">
        <v>235</v>
      </c>
      <c r="E1028" s="30" t="s">
        <v>228</v>
      </c>
      <c r="F1028" s="41">
        <v>1000</v>
      </c>
    </row>
    <row r="1029" spans="1:6" s="32" customFormat="1" ht="27" x14ac:dyDescent="0.2">
      <c r="A1029" s="152" t="s">
        <v>553</v>
      </c>
      <c r="B1029" s="154" t="s">
        <v>383</v>
      </c>
      <c r="C1029" s="154"/>
      <c r="D1029" s="154"/>
      <c r="E1029" s="154"/>
      <c r="F1029" s="156">
        <f>F1030</f>
        <v>1000</v>
      </c>
    </row>
    <row r="1030" spans="1:6" s="32" customFormat="1" x14ac:dyDescent="0.2">
      <c r="A1030" s="61" t="s">
        <v>256</v>
      </c>
      <c r="B1030" s="24" t="s">
        <v>269</v>
      </c>
      <c r="C1030" s="24" t="s">
        <v>214</v>
      </c>
      <c r="D1030" s="25"/>
      <c r="E1030" s="24"/>
      <c r="F1030" s="42">
        <f>F1031</f>
        <v>1000</v>
      </c>
    </row>
    <row r="1031" spans="1:6" s="32" customFormat="1" x14ac:dyDescent="0.2">
      <c r="A1031" s="61" t="s">
        <v>726</v>
      </c>
      <c r="B1031" s="24" t="s">
        <v>269</v>
      </c>
      <c r="C1031" s="24" t="s">
        <v>214</v>
      </c>
      <c r="D1031" s="24" t="s">
        <v>235</v>
      </c>
      <c r="E1031" s="24"/>
      <c r="F1031" s="42">
        <f>F1032</f>
        <v>1000</v>
      </c>
    </row>
    <row r="1032" spans="1:6" s="32" customFormat="1" x14ac:dyDescent="0.2">
      <c r="A1032" s="64" t="s">
        <v>473</v>
      </c>
      <c r="B1032" s="30" t="s">
        <v>269</v>
      </c>
      <c r="C1032" s="30" t="s">
        <v>214</v>
      </c>
      <c r="D1032" s="30" t="s">
        <v>235</v>
      </c>
      <c r="E1032" s="30" t="s">
        <v>226</v>
      </c>
      <c r="F1032" s="118">
        <f>F1033</f>
        <v>1000</v>
      </c>
    </row>
    <row r="1033" spans="1:6" s="32" customFormat="1" ht="24" x14ac:dyDescent="0.2">
      <c r="A1033" s="64" t="s">
        <v>227</v>
      </c>
      <c r="B1033" s="30" t="s">
        <v>269</v>
      </c>
      <c r="C1033" s="30" t="s">
        <v>214</v>
      </c>
      <c r="D1033" s="30" t="s">
        <v>235</v>
      </c>
      <c r="E1033" s="30" t="s">
        <v>228</v>
      </c>
      <c r="F1033" s="41">
        <v>1000</v>
      </c>
    </row>
    <row r="1034" spans="1:6" s="32" customFormat="1" ht="13.5" x14ac:dyDescent="0.2">
      <c r="A1034" s="152" t="s">
        <v>554</v>
      </c>
      <c r="B1034" s="154" t="s">
        <v>382</v>
      </c>
      <c r="C1034" s="154"/>
      <c r="D1034" s="154"/>
      <c r="E1034" s="154"/>
      <c r="F1034" s="156">
        <f>F1035</f>
        <v>1000</v>
      </c>
    </row>
    <row r="1035" spans="1:6" s="32" customFormat="1" ht="13.5" x14ac:dyDescent="0.2">
      <c r="A1035" s="61" t="s">
        <v>655</v>
      </c>
      <c r="B1035" s="24" t="s">
        <v>270</v>
      </c>
      <c r="C1035" s="24" t="s">
        <v>216</v>
      </c>
      <c r="D1035" s="53"/>
      <c r="E1035" s="53"/>
      <c r="F1035" s="42">
        <f>F1036</f>
        <v>1000</v>
      </c>
    </row>
    <row r="1036" spans="1:6" s="32" customFormat="1" ht="13.5" x14ac:dyDescent="0.2">
      <c r="A1036" s="61" t="s">
        <v>698</v>
      </c>
      <c r="B1036" s="24" t="s">
        <v>270</v>
      </c>
      <c r="C1036" s="24" t="s">
        <v>216</v>
      </c>
      <c r="D1036" s="24" t="s">
        <v>823</v>
      </c>
      <c r="E1036" s="53"/>
      <c r="F1036" s="42">
        <f>F1037</f>
        <v>1000</v>
      </c>
    </row>
    <row r="1037" spans="1:6" s="32" customFormat="1" x14ac:dyDescent="0.2">
      <c r="A1037" s="84" t="s">
        <v>473</v>
      </c>
      <c r="B1037" s="30" t="s">
        <v>270</v>
      </c>
      <c r="C1037" s="30" t="s">
        <v>216</v>
      </c>
      <c r="D1037" s="30" t="s">
        <v>823</v>
      </c>
      <c r="E1037" s="30" t="s">
        <v>226</v>
      </c>
      <c r="F1037" s="41">
        <f>F1038</f>
        <v>1000</v>
      </c>
    </row>
    <row r="1038" spans="1:6" s="32" customFormat="1" ht="24" x14ac:dyDescent="0.2">
      <c r="A1038" s="84" t="s">
        <v>227</v>
      </c>
      <c r="B1038" s="30" t="s">
        <v>270</v>
      </c>
      <c r="C1038" s="30" t="s">
        <v>216</v>
      </c>
      <c r="D1038" s="30" t="s">
        <v>823</v>
      </c>
      <c r="E1038" s="30" t="s">
        <v>228</v>
      </c>
      <c r="F1038" s="41">
        <v>1000</v>
      </c>
    </row>
    <row r="1039" spans="1:6" s="32" customFormat="1" ht="13.5" x14ac:dyDescent="0.2">
      <c r="A1039" s="152" t="s">
        <v>727</v>
      </c>
      <c r="B1039" s="154" t="s">
        <v>382</v>
      </c>
      <c r="C1039" s="154"/>
      <c r="D1039" s="154"/>
      <c r="E1039" s="154"/>
      <c r="F1039" s="156">
        <f>F1040</f>
        <v>106500</v>
      </c>
    </row>
    <row r="1040" spans="1:6" s="32" customFormat="1" x14ac:dyDescent="0.2">
      <c r="A1040" s="80" t="s">
        <v>693</v>
      </c>
      <c r="B1040" s="24" t="s">
        <v>47</v>
      </c>
      <c r="C1040" s="24" t="s">
        <v>235</v>
      </c>
      <c r="D1040" s="24"/>
      <c r="E1040" s="24"/>
      <c r="F1040" s="42">
        <f>F1041</f>
        <v>106500</v>
      </c>
    </row>
    <row r="1041" spans="1:6" s="32" customFormat="1" ht="15.75" x14ac:dyDescent="0.2">
      <c r="A1041" s="80" t="s">
        <v>727</v>
      </c>
      <c r="B1041" s="24" t="s">
        <v>47</v>
      </c>
      <c r="C1041" s="24" t="s">
        <v>235</v>
      </c>
      <c r="D1041" s="24" t="s">
        <v>214</v>
      </c>
      <c r="E1041" s="47"/>
      <c r="F1041" s="42">
        <f>F1042</f>
        <v>106500</v>
      </c>
    </row>
    <row r="1042" spans="1:6" s="32" customFormat="1" x14ac:dyDescent="0.2">
      <c r="A1042" s="85" t="s">
        <v>507</v>
      </c>
      <c r="B1042" s="55" t="s">
        <v>47</v>
      </c>
      <c r="C1042" s="33" t="s">
        <v>235</v>
      </c>
      <c r="D1042" s="33" t="s">
        <v>214</v>
      </c>
      <c r="E1042" s="33"/>
      <c r="F1042" s="101">
        <f>F1043</f>
        <v>106500</v>
      </c>
    </row>
    <row r="1043" spans="1:6" s="32" customFormat="1" x14ac:dyDescent="0.2">
      <c r="A1043" s="84" t="s">
        <v>477</v>
      </c>
      <c r="B1043" s="30" t="s">
        <v>47</v>
      </c>
      <c r="C1043" s="30" t="s">
        <v>235</v>
      </c>
      <c r="D1043" s="30" t="s">
        <v>214</v>
      </c>
      <c r="E1043" s="30" t="s">
        <v>478</v>
      </c>
      <c r="F1043" s="41">
        <f>F1044</f>
        <v>106500</v>
      </c>
    </row>
    <row r="1044" spans="1:6" s="32" customFormat="1" x14ac:dyDescent="0.2">
      <c r="A1044" s="84" t="s">
        <v>479</v>
      </c>
      <c r="B1044" s="30" t="s">
        <v>47</v>
      </c>
      <c r="C1044" s="30" t="s">
        <v>235</v>
      </c>
      <c r="D1044" s="30" t="s">
        <v>214</v>
      </c>
      <c r="E1044" s="30" t="s">
        <v>708</v>
      </c>
      <c r="F1044" s="41">
        <f>122000-15000-500</f>
        <v>106500</v>
      </c>
    </row>
    <row r="1045" spans="1:6" s="32" customFormat="1" ht="13.5" x14ac:dyDescent="0.2">
      <c r="A1045" s="165" t="s">
        <v>148</v>
      </c>
      <c r="B1045" s="154" t="s">
        <v>383</v>
      </c>
      <c r="C1045" s="154"/>
      <c r="D1045" s="154"/>
      <c r="E1045" s="154"/>
      <c r="F1045" s="156">
        <f>F1046+F1051</f>
        <v>27365.511750000001</v>
      </c>
    </row>
    <row r="1046" spans="1:6" s="182" customFormat="1" ht="12" x14ac:dyDescent="0.2">
      <c r="A1046" s="61" t="s">
        <v>700</v>
      </c>
      <c r="B1046" s="24" t="s">
        <v>223</v>
      </c>
      <c r="C1046" s="24" t="s">
        <v>107</v>
      </c>
      <c r="D1046" s="24"/>
      <c r="E1046" s="24"/>
      <c r="F1046" s="42">
        <f>F1047</f>
        <v>24365.511750000001</v>
      </c>
    </row>
    <row r="1047" spans="1:6" s="182" customFormat="1" ht="12" x14ac:dyDescent="0.2">
      <c r="A1047" s="61" t="s">
        <v>687</v>
      </c>
      <c r="B1047" s="24" t="s">
        <v>223</v>
      </c>
      <c r="C1047" s="24" t="s">
        <v>107</v>
      </c>
      <c r="D1047" s="24" t="s">
        <v>817</v>
      </c>
      <c r="E1047" s="24"/>
      <c r="F1047" s="42">
        <f>F1048</f>
        <v>24365.511750000001</v>
      </c>
    </row>
    <row r="1048" spans="1:6" s="182" customFormat="1" ht="12" x14ac:dyDescent="0.2">
      <c r="A1048" s="80" t="s">
        <v>222</v>
      </c>
      <c r="B1048" s="24" t="s">
        <v>223</v>
      </c>
      <c r="C1048" s="24" t="s">
        <v>107</v>
      </c>
      <c r="D1048" s="24" t="s">
        <v>817</v>
      </c>
      <c r="E1048" s="24"/>
      <c r="F1048" s="42">
        <f>F1049</f>
        <v>24365.511750000001</v>
      </c>
    </row>
    <row r="1049" spans="1:6" s="182" customFormat="1" ht="12" x14ac:dyDescent="0.2">
      <c r="A1049" s="64" t="s">
        <v>237</v>
      </c>
      <c r="B1049" s="30" t="s">
        <v>223</v>
      </c>
      <c r="C1049" s="30" t="s">
        <v>107</v>
      </c>
      <c r="D1049" s="30" t="s">
        <v>817</v>
      </c>
      <c r="E1049" s="30" t="s">
        <v>236</v>
      </c>
      <c r="F1049" s="41">
        <f>F1050</f>
        <v>24365.511750000001</v>
      </c>
    </row>
    <row r="1050" spans="1:6" s="182" customFormat="1" ht="12" x14ac:dyDescent="0.2">
      <c r="A1050" s="64" t="s">
        <v>238</v>
      </c>
      <c r="B1050" s="30" t="s">
        <v>223</v>
      </c>
      <c r="C1050" s="30" t="s">
        <v>107</v>
      </c>
      <c r="D1050" s="30" t="s">
        <v>817</v>
      </c>
      <c r="E1050" s="30" t="s">
        <v>239</v>
      </c>
      <c r="F1050" s="41">
        <v>24365.511750000001</v>
      </c>
    </row>
    <row r="1051" spans="1:6" s="32" customFormat="1" x14ac:dyDescent="0.2">
      <c r="A1051" s="61" t="s">
        <v>700</v>
      </c>
      <c r="B1051" s="24" t="s">
        <v>15</v>
      </c>
      <c r="C1051" s="24" t="s">
        <v>107</v>
      </c>
      <c r="D1051" s="24"/>
      <c r="E1051" s="24"/>
      <c r="F1051" s="42">
        <f>F1052</f>
        <v>3000</v>
      </c>
    </row>
    <row r="1052" spans="1:6" s="32" customFormat="1" x14ac:dyDescent="0.2">
      <c r="A1052" s="61" t="s">
        <v>687</v>
      </c>
      <c r="B1052" s="24" t="s">
        <v>15</v>
      </c>
      <c r="C1052" s="24" t="s">
        <v>107</v>
      </c>
      <c r="D1052" s="24" t="s">
        <v>817</v>
      </c>
      <c r="E1052" s="24"/>
      <c r="F1052" s="42">
        <f>F1053</f>
        <v>3000</v>
      </c>
    </row>
    <row r="1053" spans="1:6" s="32" customFormat="1" x14ac:dyDescent="0.2">
      <c r="A1053" s="80" t="s">
        <v>789</v>
      </c>
      <c r="B1053" s="24" t="s">
        <v>15</v>
      </c>
      <c r="C1053" s="24" t="s">
        <v>107</v>
      </c>
      <c r="D1053" s="24" t="s">
        <v>817</v>
      </c>
      <c r="E1053" s="24"/>
      <c r="F1053" s="42">
        <f>F1054</f>
        <v>3000</v>
      </c>
    </row>
    <row r="1054" spans="1:6" s="32" customFormat="1" x14ac:dyDescent="0.2">
      <c r="A1054" s="64" t="s">
        <v>237</v>
      </c>
      <c r="B1054" s="30" t="s">
        <v>15</v>
      </c>
      <c r="C1054" s="30" t="s">
        <v>107</v>
      </c>
      <c r="D1054" s="30" t="s">
        <v>817</v>
      </c>
      <c r="E1054" s="30" t="s">
        <v>236</v>
      </c>
      <c r="F1054" s="41">
        <f>F1055</f>
        <v>3000</v>
      </c>
    </row>
    <row r="1055" spans="1:6" s="32" customFormat="1" x14ac:dyDescent="0.2">
      <c r="A1055" s="64" t="s">
        <v>238</v>
      </c>
      <c r="B1055" s="30" t="s">
        <v>15</v>
      </c>
      <c r="C1055" s="30" t="s">
        <v>107</v>
      </c>
      <c r="D1055" s="30" t="s">
        <v>817</v>
      </c>
      <c r="E1055" s="30" t="s">
        <v>239</v>
      </c>
      <c r="F1055" s="41">
        <v>3000</v>
      </c>
    </row>
    <row r="1056" spans="1:6" s="32" customFormat="1" ht="27" x14ac:dyDescent="0.2">
      <c r="A1056" s="165" t="s">
        <v>139</v>
      </c>
      <c r="B1056" s="154" t="s">
        <v>336</v>
      </c>
      <c r="C1056" s="154"/>
      <c r="D1056" s="154"/>
      <c r="E1056" s="154"/>
      <c r="F1056" s="156">
        <f>F1057</f>
        <v>2194</v>
      </c>
    </row>
    <row r="1057" spans="1:6" s="32" customFormat="1" x14ac:dyDescent="0.2">
      <c r="A1057" s="63" t="s">
        <v>149</v>
      </c>
      <c r="B1057" s="24" t="s">
        <v>336</v>
      </c>
      <c r="C1057" s="24"/>
      <c r="D1057" s="24"/>
      <c r="E1057" s="24"/>
      <c r="F1057" s="42">
        <f>F1058</f>
        <v>2194</v>
      </c>
    </row>
    <row r="1058" spans="1:6" s="32" customFormat="1" x14ac:dyDescent="0.2">
      <c r="A1058" s="61" t="s">
        <v>256</v>
      </c>
      <c r="B1058" s="24" t="s">
        <v>399</v>
      </c>
      <c r="C1058" s="36" t="s">
        <v>214</v>
      </c>
      <c r="D1058" s="36"/>
      <c r="E1058" s="30"/>
      <c r="F1058" s="42">
        <f>F1059</f>
        <v>2194</v>
      </c>
    </row>
    <row r="1059" spans="1:6" s="32" customFormat="1" x14ac:dyDescent="0.2">
      <c r="A1059" s="61" t="s">
        <v>726</v>
      </c>
      <c r="B1059" s="24" t="s">
        <v>399</v>
      </c>
      <c r="C1059" s="36" t="s">
        <v>214</v>
      </c>
      <c r="D1059" s="36" t="s">
        <v>235</v>
      </c>
      <c r="E1059" s="25"/>
      <c r="F1059" s="42">
        <f>F1060</f>
        <v>2194</v>
      </c>
    </row>
    <row r="1060" spans="1:6" s="32" customFormat="1" ht="36" x14ac:dyDescent="0.2">
      <c r="A1060" s="64" t="s">
        <v>217</v>
      </c>
      <c r="B1060" s="30" t="s">
        <v>399</v>
      </c>
      <c r="C1060" s="30" t="s">
        <v>214</v>
      </c>
      <c r="D1060" s="30" t="s">
        <v>235</v>
      </c>
      <c r="E1060" s="30" t="s">
        <v>218</v>
      </c>
      <c r="F1060" s="41">
        <f>F1061</f>
        <v>2194</v>
      </c>
    </row>
    <row r="1061" spans="1:6" s="32" customFormat="1" x14ac:dyDescent="0.2">
      <c r="A1061" s="64" t="s">
        <v>219</v>
      </c>
      <c r="B1061" s="30" t="s">
        <v>399</v>
      </c>
      <c r="C1061" s="30" t="s">
        <v>214</v>
      </c>
      <c r="D1061" s="30" t="s">
        <v>235</v>
      </c>
      <c r="E1061" s="30" t="s">
        <v>224</v>
      </c>
      <c r="F1061" s="41">
        <v>2194</v>
      </c>
    </row>
    <row r="1062" spans="1:6" s="32" customFormat="1" ht="40.5" x14ac:dyDescent="0.2">
      <c r="A1062" s="152" t="s">
        <v>764</v>
      </c>
      <c r="B1062" s="154" t="s">
        <v>383</v>
      </c>
      <c r="C1062" s="154"/>
      <c r="D1062" s="154"/>
      <c r="E1062" s="154"/>
      <c r="F1062" s="156">
        <f>F1063</f>
        <v>183</v>
      </c>
    </row>
    <row r="1063" spans="1:6" s="32" customFormat="1" x14ac:dyDescent="0.2">
      <c r="A1063" s="61" t="s">
        <v>256</v>
      </c>
      <c r="B1063" s="24" t="s">
        <v>559</v>
      </c>
      <c r="C1063" s="36" t="s">
        <v>214</v>
      </c>
      <c r="D1063" s="24"/>
      <c r="E1063" s="24"/>
      <c r="F1063" s="42">
        <f>F1064</f>
        <v>183</v>
      </c>
    </row>
    <row r="1064" spans="1:6" s="32" customFormat="1" x14ac:dyDescent="0.2">
      <c r="A1064" s="80" t="s">
        <v>760</v>
      </c>
      <c r="B1064" s="24" t="s">
        <v>559</v>
      </c>
      <c r="C1064" s="24" t="s">
        <v>214</v>
      </c>
      <c r="D1064" s="24" t="s">
        <v>731</v>
      </c>
      <c r="E1064" s="24"/>
      <c r="F1064" s="42">
        <f>F1065</f>
        <v>183</v>
      </c>
    </row>
    <row r="1065" spans="1:6" s="32" customFormat="1" x14ac:dyDescent="0.2">
      <c r="A1065" s="84" t="s">
        <v>473</v>
      </c>
      <c r="B1065" s="30" t="s">
        <v>559</v>
      </c>
      <c r="C1065" s="30" t="s">
        <v>214</v>
      </c>
      <c r="D1065" s="30" t="s">
        <v>731</v>
      </c>
      <c r="E1065" s="30" t="s">
        <v>226</v>
      </c>
      <c r="F1065" s="41">
        <f>F1066</f>
        <v>183</v>
      </c>
    </row>
    <row r="1066" spans="1:6" s="32" customFormat="1" ht="24" x14ac:dyDescent="0.2">
      <c r="A1066" s="84" t="s">
        <v>227</v>
      </c>
      <c r="B1066" s="30" t="s">
        <v>559</v>
      </c>
      <c r="C1066" s="30" t="s">
        <v>214</v>
      </c>
      <c r="D1066" s="30" t="s">
        <v>731</v>
      </c>
      <c r="E1066" s="30" t="s">
        <v>228</v>
      </c>
      <c r="F1066" s="41">
        <v>183</v>
      </c>
    </row>
    <row r="1067" spans="1:6" ht="27" x14ac:dyDescent="0.2">
      <c r="A1067" s="152" t="s">
        <v>646</v>
      </c>
      <c r="B1067" s="154" t="s">
        <v>383</v>
      </c>
      <c r="C1067" s="167"/>
      <c r="D1067" s="167"/>
      <c r="E1067" s="167"/>
      <c r="F1067" s="156">
        <f>F1068</f>
        <v>850.15499999999997</v>
      </c>
    </row>
    <row r="1068" spans="1:6" x14ac:dyDescent="0.2">
      <c r="A1068" s="80" t="s">
        <v>655</v>
      </c>
      <c r="B1068" s="24" t="s">
        <v>647</v>
      </c>
      <c r="C1068" s="24" t="s">
        <v>216</v>
      </c>
      <c r="D1068" s="24"/>
      <c r="E1068" s="24"/>
      <c r="F1068" s="42">
        <f>F1069</f>
        <v>850.15499999999997</v>
      </c>
    </row>
    <row r="1069" spans="1:6" x14ac:dyDescent="0.2">
      <c r="A1069" s="80" t="s">
        <v>645</v>
      </c>
      <c r="B1069" s="24" t="s">
        <v>647</v>
      </c>
      <c r="C1069" s="24" t="s">
        <v>216</v>
      </c>
      <c r="D1069" s="24" t="s">
        <v>214</v>
      </c>
      <c r="E1069" s="24"/>
      <c r="F1069" s="42">
        <f>F1070</f>
        <v>850.15499999999997</v>
      </c>
    </row>
    <row r="1070" spans="1:6" ht="36" x14ac:dyDescent="0.2">
      <c r="A1070" s="84" t="s">
        <v>217</v>
      </c>
      <c r="B1070" s="30" t="s">
        <v>648</v>
      </c>
      <c r="C1070" s="30" t="s">
        <v>216</v>
      </c>
      <c r="D1070" s="30" t="s">
        <v>214</v>
      </c>
      <c r="E1070" s="30" t="s">
        <v>218</v>
      </c>
      <c r="F1070" s="41">
        <f>F1071</f>
        <v>850.15499999999997</v>
      </c>
    </row>
    <row r="1071" spans="1:6" x14ac:dyDescent="0.2">
      <c r="A1071" s="84" t="s">
        <v>219</v>
      </c>
      <c r="B1071" s="30" t="s">
        <v>648</v>
      </c>
      <c r="C1071" s="30" t="s">
        <v>216</v>
      </c>
      <c r="D1071" s="30" t="s">
        <v>214</v>
      </c>
      <c r="E1071" s="30" t="s">
        <v>224</v>
      </c>
      <c r="F1071" s="41">
        <f>276.675+573.48</f>
        <v>850.15499999999997</v>
      </c>
    </row>
    <row r="1072" spans="1:6" x14ac:dyDescent="0.2">
      <c r="C1072" s="15"/>
      <c r="D1072" s="15"/>
      <c r="E1072" s="15"/>
    </row>
    <row r="1073" spans="1:5" ht="28.5" customHeight="1" x14ac:dyDescent="0.2">
      <c r="A1073" s="184"/>
      <c r="C1073" s="15"/>
      <c r="D1073" s="15"/>
      <c r="E1073" s="15"/>
    </row>
    <row r="1074" spans="1:5" x14ac:dyDescent="0.2">
      <c r="C1074" s="15"/>
      <c r="D1074" s="15"/>
      <c r="E1074" s="15"/>
    </row>
    <row r="1075" spans="1:5" x14ac:dyDescent="0.2">
      <c r="C1075" s="15"/>
      <c r="D1075" s="15"/>
      <c r="E1075" s="15"/>
    </row>
    <row r="1076" spans="1:5" x14ac:dyDescent="0.2">
      <c r="C1076" s="15"/>
      <c r="D1076" s="15"/>
      <c r="E1076" s="15"/>
    </row>
    <row r="1077" spans="1:5" x14ac:dyDescent="0.2">
      <c r="C1077" s="15"/>
      <c r="D1077" s="15"/>
      <c r="E1077" s="15"/>
    </row>
    <row r="1078" spans="1:5" x14ac:dyDescent="0.2">
      <c r="C1078" s="15"/>
      <c r="D1078" s="15"/>
      <c r="E1078" s="15"/>
    </row>
    <row r="1079" spans="1:5" x14ac:dyDescent="0.2">
      <c r="C1079" s="15"/>
      <c r="D1079" s="15"/>
      <c r="E1079" s="15"/>
    </row>
    <row r="1080" spans="1:5" x14ac:dyDescent="0.2">
      <c r="C1080" s="15"/>
      <c r="D1080" s="15"/>
      <c r="E1080" s="15"/>
    </row>
    <row r="1081" spans="1:5" x14ac:dyDescent="0.2">
      <c r="C1081" s="15"/>
      <c r="D1081" s="15"/>
      <c r="E1081" s="15"/>
    </row>
    <row r="1082" spans="1:5" x14ac:dyDescent="0.2">
      <c r="C1082" s="15"/>
      <c r="D1082" s="15"/>
      <c r="E1082" s="15"/>
    </row>
    <row r="1083" spans="1:5" x14ac:dyDescent="0.2">
      <c r="C1083" s="15"/>
      <c r="D1083" s="15"/>
      <c r="E1083" s="15"/>
    </row>
    <row r="1084" spans="1:5" x14ac:dyDescent="0.2">
      <c r="C1084" s="15"/>
      <c r="D1084" s="15"/>
      <c r="E1084" s="15"/>
    </row>
    <row r="1085" spans="1:5" x14ac:dyDescent="0.2">
      <c r="C1085" s="15"/>
      <c r="D1085" s="15"/>
      <c r="E1085" s="15"/>
    </row>
    <row r="1086" spans="1:5" x14ac:dyDescent="0.2">
      <c r="C1086" s="15"/>
      <c r="D1086" s="15"/>
      <c r="E1086" s="15"/>
    </row>
    <row r="1087" spans="1:5" x14ac:dyDescent="0.2">
      <c r="C1087" s="15"/>
      <c r="D1087" s="15"/>
      <c r="E1087" s="15"/>
    </row>
    <row r="1088" spans="1:5" x14ac:dyDescent="0.2">
      <c r="C1088" s="15"/>
      <c r="D1088" s="15"/>
      <c r="E1088" s="15"/>
    </row>
    <row r="1089" spans="3:5" x14ac:dyDescent="0.2">
      <c r="C1089" s="15"/>
      <c r="D1089" s="15"/>
      <c r="E1089" s="15"/>
    </row>
    <row r="1090" spans="3:5" x14ac:dyDescent="0.2">
      <c r="C1090" s="15"/>
      <c r="D1090" s="15"/>
      <c r="E1090" s="15"/>
    </row>
    <row r="1091" spans="3:5" x14ac:dyDescent="0.2">
      <c r="C1091" s="15"/>
      <c r="D1091" s="15"/>
      <c r="E1091" s="15"/>
    </row>
    <row r="1092" spans="3:5" x14ac:dyDescent="0.2">
      <c r="C1092" s="15"/>
      <c r="D1092" s="15"/>
      <c r="E1092" s="15"/>
    </row>
    <row r="1093" spans="3:5" x14ac:dyDescent="0.2">
      <c r="C1093" s="15"/>
      <c r="D1093" s="15"/>
      <c r="E1093" s="15"/>
    </row>
    <row r="1094" spans="3:5" x14ac:dyDescent="0.2">
      <c r="C1094" s="15"/>
      <c r="D1094" s="15"/>
      <c r="E1094" s="15"/>
    </row>
    <row r="1095" spans="3:5" x14ac:dyDescent="0.2">
      <c r="C1095" s="15"/>
      <c r="D1095" s="15"/>
      <c r="E1095" s="15"/>
    </row>
    <row r="1096" spans="3:5" x14ac:dyDescent="0.2">
      <c r="C1096" s="15"/>
      <c r="D1096" s="15"/>
      <c r="E1096" s="15"/>
    </row>
    <row r="1097" spans="3:5" x14ac:dyDescent="0.2">
      <c r="C1097" s="15"/>
      <c r="D1097" s="15"/>
      <c r="E1097" s="15"/>
    </row>
    <row r="1098" spans="3:5" x14ac:dyDescent="0.2">
      <c r="C1098" s="15"/>
      <c r="D1098" s="15"/>
      <c r="E1098" s="15"/>
    </row>
    <row r="1099" spans="3:5" x14ac:dyDescent="0.2">
      <c r="C1099" s="15"/>
      <c r="D1099" s="15"/>
      <c r="E1099" s="15"/>
    </row>
    <row r="1100" spans="3:5" x14ac:dyDescent="0.2">
      <c r="C1100" s="15"/>
      <c r="D1100" s="15"/>
      <c r="E1100" s="15"/>
    </row>
    <row r="1101" spans="3:5" x14ac:dyDescent="0.2">
      <c r="C1101" s="15"/>
      <c r="D1101" s="15"/>
      <c r="E1101" s="15"/>
    </row>
    <row r="1102" spans="3:5" x14ac:dyDescent="0.2">
      <c r="C1102" s="15"/>
      <c r="D1102" s="15"/>
      <c r="E1102" s="15"/>
    </row>
    <row r="1103" spans="3:5" x14ac:dyDescent="0.2">
      <c r="C1103" s="15"/>
      <c r="D1103" s="15"/>
      <c r="E1103" s="15"/>
    </row>
    <row r="1104" spans="3:5" x14ac:dyDescent="0.2">
      <c r="C1104" s="15"/>
      <c r="D1104" s="15"/>
      <c r="E1104" s="15"/>
    </row>
    <row r="1105" spans="3:5" x14ac:dyDescent="0.2">
      <c r="C1105" s="15"/>
      <c r="D1105" s="15"/>
      <c r="E1105" s="15"/>
    </row>
    <row r="1106" spans="3:5" x14ac:dyDescent="0.2">
      <c r="C1106" s="15"/>
      <c r="D1106" s="15"/>
      <c r="E1106" s="15"/>
    </row>
    <row r="1107" spans="3:5" x14ac:dyDescent="0.2">
      <c r="C1107" s="15"/>
      <c r="D1107" s="15"/>
      <c r="E1107" s="15"/>
    </row>
    <row r="1108" spans="3:5" x14ac:dyDescent="0.2">
      <c r="C1108" s="15"/>
      <c r="D1108" s="15"/>
      <c r="E1108" s="15"/>
    </row>
    <row r="1109" spans="3:5" x14ac:dyDescent="0.2">
      <c r="C1109" s="15"/>
      <c r="D1109" s="15"/>
      <c r="E1109" s="15"/>
    </row>
    <row r="1110" spans="3:5" x14ac:dyDescent="0.2">
      <c r="C1110" s="15"/>
      <c r="D1110" s="15"/>
      <c r="E1110" s="15"/>
    </row>
    <row r="1111" spans="3:5" x14ac:dyDescent="0.2">
      <c r="C1111" s="15"/>
      <c r="D1111" s="15"/>
      <c r="E1111" s="15"/>
    </row>
    <row r="1112" spans="3:5" x14ac:dyDescent="0.2">
      <c r="C1112" s="15"/>
      <c r="D1112" s="15"/>
      <c r="E1112" s="15"/>
    </row>
    <row r="1113" spans="3:5" x14ac:dyDescent="0.2">
      <c r="C1113" s="15"/>
      <c r="D1113" s="15"/>
      <c r="E1113" s="15"/>
    </row>
    <row r="1114" spans="3:5" x14ac:dyDescent="0.2">
      <c r="C1114" s="15"/>
      <c r="D1114" s="15"/>
      <c r="E1114" s="15"/>
    </row>
    <row r="1115" spans="3:5" x14ac:dyDescent="0.2">
      <c r="C1115" s="15"/>
      <c r="D1115" s="15"/>
      <c r="E1115" s="15"/>
    </row>
    <row r="1116" spans="3:5" x14ac:dyDescent="0.2">
      <c r="C1116" s="15"/>
      <c r="D1116" s="15"/>
      <c r="E1116" s="15"/>
    </row>
    <row r="1117" spans="3:5" x14ac:dyDescent="0.2">
      <c r="C1117" s="15"/>
      <c r="D1117" s="15"/>
      <c r="E1117" s="15"/>
    </row>
    <row r="1118" spans="3:5" x14ac:dyDescent="0.2">
      <c r="C1118" s="15"/>
      <c r="D1118" s="15"/>
      <c r="E1118" s="15"/>
    </row>
    <row r="1119" spans="3:5" x14ac:dyDescent="0.2">
      <c r="C1119" s="15"/>
      <c r="D1119" s="15"/>
      <c r="E1119" s="15"/>
    </row>
    <row r="1120" spans="3:5" x14ac:dyDescent="0.2">
      <c r="C1120" s="15"/>
      <c r="D1120" s="15"/>
      <c r="E1120" s="15"/>
    </row>
    <row r="1121" spans="3:5" x14ac:dyDescent="0.2">
      <c r="C1121" s="15"/>
      <c r="D1121" s="15"/>
      <c r="E1121" s="15"/>
    </row>
    <row r="1122" spans="3:5" x14ac:dyDescent="0.2">
      <c r="C1122" s="15"/>
      <c r="D1122" s="15"/>
      <c r="E1122" s="15"/>
    </row>
    <row r="1123" spans="3:5" x14ac:dyDescent="0.2">
      <c r="C1123" s="15"/>
      <c r="D1123" s="15"/>
      <c r="E1123" s="15"/>
    </row>
    <row r="1124" spans="3:5" x14ac:dyDescent="0.2">
      <c r="C1124" s="15"/>
      <c r="D1124" s="15"/>
      <c r="E1124" s="15"/>
    </row>
  </sheetData>
  <autoFilter ref="B21:F1071"/>
  <mergeCells count="15">
    <mergeCell ref="B1:F1"/>
    <mergeCell ref="A2:F2"/>
    <mergeCell ref="A3:F3"/>
    <mergeCell ref="A4:F4"/>
    <mergeCell ref="A19:F19"/>
    <mergeCell ref="A20:F20"/>
    <mergeCell ref="A17:F18"/>
    <mergeCell ref="A5:F5"/>
    <mergeCell ref="A6:F6"/>
    <mergeCell ref="A7:F7"/>
    <mergeCell ref="A12:F12"/>
    <mergeCell ref="A11:F11"/>
    <mergeCell ref="A10:F10"/>
    <mergeCell ref="A14:F14"/>
    <mergeCell ref="A13:F13"/>
  </mergeCells>
  <phoneticPr fontId="2" type="noConversion"/>
  <pageMargins left="0.59055118110236227" right="0.39370078740157483" top="0.39370078740157483" bottom="0.39370078740157483" header="0" footer="0"/>
  <pageSetup paperSize="9" scale="75" orientation="portrait" useFirstPageNumber="1" r:id="rId1"/>
  <headerFooter alignWithMargins="0">
    <oddFooter>&amp;C&amp;P</oddFooter>
  </headerFooter>
  <rowBreaks count="2" manualBreakCount="2">
    <brk id="756" max="5" man="1"/>
    <brk id="86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G981"/>
  <sheetViews>
    <sheetView view="pageBreakPreview" topLeftCell="A900" zoomScale="130" zoomScaleNormal="100" zoomScaleSheetLayoutView="130" workbookViewId="0">
      <selection activeCell="A927" sqref="A927:B927"/>
    </sheetView>
  </sheetViews>
  <sheetFormatPr defaultRowHeight="12.75" x14ac:dyDescent="0.2"/>
  <cols>
    <col min="1" max="1" width="75.28515625" style="9" customWidth="1"/>
    <col min="2" max="2" width="13.28515625" style="9" customWidth="1"/>
    <col min="3" max="3" width="8.7109375" style="10" customWidth="1"/>
    <col min="4" max="4" width="8" style="10" customWidth="1"/>
    <col min="5" max="5" width="7.5703125" style="10" customWidth="1"/>
    <col min="6" max="6" width="12.5703125" customWidth="1"/>
    <col min="7" max="7" width="12.85546875" customWidth="1"/>
  </cols>
  <sheetData>
    <row r="1" spans="1:7" ht="15" x14ac:dyDescent="0.25">
      <c r="B1" s="192"/>
      <c r="C1" s="232" t="s">
        <v>317</v>
      </c>
      <c r="D1" s="232"/>
      <c r="E1" s="232"/>
      <c r="F1" s="232"/>
      <c r="G1" s="232"/>
    </row>
    <row r="2" spans="1:7" ht="15" x14ac:dyDescent="0.25">
      <c r="B2" s="232" t="s">
        <v>609</v>
      </c>
      <c r="C2" s="232"/>
      <c r="D2" s="232"/>
      <c r="E2" s="232"/>
      <c r="F2" s="232"/>
      <c r="G2" s="232"/>
    </row>
    <row r="3" spans="1:7" ht="15" x14ac:dyDescent="0.25">
      <c r="B3" s="232" t="s">
        <v>858</v>
      </c>
      <c r="C3" s="232"/>
      <c r="D3" s="232"/>
      <c r="E3" s="232"/>
      <c r="F3" s="232"/>
      <c r="G3" s="232"/>
    </row>
    <row r="4" spans="1:7" ht="15" x14ac:dyDescent="0.25">
      <c r="B4" s="232" t="s">
        <v>602</v>
      </c>
      <c r="C4" s="232"/>
      <c r="D4" s="232"/>
      <c r="E4" s="232"/>
      <c r="F4" s="232"/>
      <c r="G4" s="232"/>
    </row>
    <row r="5" spans="1:7" ht="15" x14ac:dyDescent="0.25">
      <c r="B5" s="232" t="s">
        <v>603</v>
      </c>
      <c r="C5" s="232"/>
      <c r="D5" s="232"/>
      <c r="E5" s="232"/>
      <c r="F5" s="232"/>
      <c r="G5" s="232"/>
    </row>
    <row r="6" spans="1:7" ht="15" x14ac:dyDescent="0.25">
      <c r="A6" s="232" t="s">
        <v>610</v>
      </c>
      <c r="B6" s="232"/>
      <c r="C6" s="232"/>
      <c r="D6" s="232"/>
      <c r="E6" s="232"/>
      <c r="F6" s="232"/>
      <c r="G6" s="232"/>
    </row>
    <row r="7" spans="1:7" ht="15" x14ac:dyDescent="0.25">
      <c r="B7" s="232" t="s">
        <v>604</v>
      </c>
      <c r="C7" s="232"/>
      <c r="D7" s="232"/>
      <c r="E7" s="232"/>
      <c r="F7" s="232"/>
      <c r="G7" s="232"/>
    </row>
    <row r="9" spans="1:7" ht="15" x14ac:dyDescent="0.25">
      <c r="A9" s="232" t="s">
        <v>597</v>
      </c>
      <c r="B9" s="232"/>
      <c r="C9" s="232"/>
      <c r="D9" s="232"/>
      <c r="E9" s="232"/>
      <c r="F9" s="232"/>
      <c r="G9" s="232"/>
    </row>
    <row r="10" spans="1:7" ht="15" x14ac:dyDescent="0.25">
      <c r="A10" s="232" t="s">
        <v>608</v>
      </c>
      <c r="B10" s="232"/>
      <c r="C10" s="232"/>
      <c r="D10" s="232"/>
      <c r="E10" s="232"/>
      <c r="F10" s="232"/>
      <c r="G10" s="232"/>
    </row>
    <row r="11" spans="1:7" ht="15" x14ac:dyDescent="0.25">
      <c r="A11" s="232" t="s">
        <v>605</v>
      </c>
      <c r="B11" s="232"/>
      <c r="C11" s="232"/>
      <c r="D11" s="232"/>
      <c r="E11" s="232"/>
      <c r="F11" s="232"/>
      <c r="G11" s="232"/>
    </row>
    <row r="12" spans="1:7" ht="15" x14ac:dyDescent="0.25">
      <c r="A12" s="232" t="s">
        <v>606</v>
      </c>
      <c r="B12" s="232"/>
      <c r="C12" s="232"/>
      <c r="D12" s="232"/>
      <c r="E12" s="232"/>
      <c r="F12" s="232"/>
      <c r="G12" s="232"/>
    </row>
    <row r="13" spans="1:7" ht="15" x14ac:dyDescent="0.25">
      <c r="A13" s="232" t="s">
        <v>607</v>
      </c>
      <c r="B13" s="232"/>
      <c r="C13" s="232"/>
      <c r="D13" s="232"/>
      <c r="E13" s="232"/>
      <c r="F13" s="232"/>
      <c r="G13" s="232"/>
    </row>
    <row r="16" spans="1:7" ht="12.75" customHeight="1" x14ac:dyDescent="0.2">
      <c r="A16" s="248" t="s">
        <v>709</v>
      </c>
      <c r="B16" s="248"/>
      <c r="C16" s="248"/>
      <c r="D16" s="248"/>
      <c r="E16" s="248"/>
      <c r="F16" s="248"/>
      <c r="G16" s="248"/>
    </row>
    <row r="17" spans="1:7" x14ac:dyDescent="0.2">
      <c r="A17" s="248"/>
      <c r="B17" s="248"/>
      <c r="C17" s="248"/>
      <c r="D17" s="248"/>
      <c r="E17" s="248"/>
      <c r="F17" s="248"/>
      <c r="G17" s="248"/>
    </row>
    <row r="18" spans="1:7" ht="14.25" x14ac:dyDescent="0.2">
      <c r="A18" s="249" t="s">
        <v>598</v>
      </c>
      <c r="B18" s="249"/>
      <c r="C18" s="249"/>
      <c r="D18" s="249"/>
      <c r="E18" s="249"/>
      <c r="F18" s="249"/>
      <c r="G18" s="249"/>
    </row>
    <row r="19" spans="1:7" x14ac:dyDescent="0.2">
      <c r="A19" s="247" t="s">
        <v>802</v>
      </c>
      <c r="B19" s="247"/>
      <c r="C19" s="247"/>
      <c r="D19" s="247"/>
      <c r="E19" s="247"/>
      <c r="F19" s="247"/>
      <c r="G19" s="247"/>
    </row>
    <row r="20" spans="1:7" ht="38.25" customHeight="1" x14ac:dyDescent="0.2">
      <c r="A20" s="256" t="s">
        <v>252</v>
      </c>
      <c r="B20" s="255" t="s">
        <v>739</v>
      </c>
      <c r="C20" s="255" t="s">
        <v>145</v>
      </c>
      <c r="D20" s="255" t="s">
        <v>144</v>
      </c>
      <c r="E20" s="255" t="s">
        <v>254</v>
      </c>
      <c r="F20" s="69" t="s">
        <v>566</v>
      </c>
      <c r="G20" s="69" t="s">
        <v>566</v>
      </c>
    </row>
    <row r="21" spans="1:7" ht="14.25" customHeight="1" x14ac:dyDescent="0.2">
      <c r="A21" s="256"/>
      <c r="B21" s="255"/>
      <c r="C21" s="255"/>
      <c r="D21" s="255"/>
      <c r="E21" s="255"/>
      <c r="F21" s="69" t="s">
        <v>567</v>
      </c>
      <c r="G21" s="69" t="s">
        <v>568</v>
      </c>
    </row>
    <row r="22" spans="1:7" s="13" customFormat="1" ht="15" x14ac:dyDescent="0.2">
      <c r="A22" s="200" t="s">
        <v>740</v>
      </c>
      <c r="B22" s="201"/>
      <c r="C22" s="202"/>
      <c r="D22" s="202"/>
      <c r="E22" s="203"/>
      <c r="F22" s="204">
        <f>F23+F118+F124+F186+F255+F281+F287+F394+F486+F597+F670+F704+F715+F787+F923</f>
        <v>3984811.3964000004</v>
      </c>
      <c r="G22" s="204">
        <f>G23+G118+G124+G186+G255+G281+G287+G394+G486+G597+G670+G704+G715+G787+G923</f>
        <v>3868322.95</v>
      </c>
    </row>
    <row r="23" spans="1:7" s="39" customFormat="1" ht="27" x14ac:dyDescent="0.2">
      <c r="A23" s="152" t="s">
        <v>551</v>
      </c>
      <c r="B23" s="153" t="s">
        <v>386</v>
      </c>
      <c r="C23" s="154"/>
      <c r="D23" s="154"/>
      <c r="E23" s="155"/>
      <c r="F23" s="156">
        <f>F24+F35+F81+F107</f>
        <v>37770</v>
      </c>
      <c r="G23" s="156">
        <f>G24+G35+G81+G107</f>
        <v>39343</v>
      </c>
    </row>
    <row r="24" spans="1:7" s="39" customFormat="1" ht="40.5" x14ac:dyDescent="0.2">
      <c r="A24" s="98" t="s">
        <v>337</v>
      </c>
      <c r="B24" s="93" t="s">
        <v>338</v>
      </c>
      <c r="C24" s="53"/>
      <c r="D24" s="53"/>
      <c r="E24" s="58"/>
      <c r="F24" s="57">
        <f>F25+F30</f>
        <v>2100</v>
      </c>
      <c r="G24" s="57">
        <f>G25+G30</f>
        <v>3320</v>
      </c>
    </row>
    <row r="25" spans="1:7" s="39" customFormat="1" ht="24" x14ac:dyDescent="0.2">
      <c r="A25" s="75" t="s">
        <v>569</v>
      </c>
      <c r="B25" s="43" t="s">
        <v>570</v>
      </c>
      <c r="C25" s="24"/>
      <c r="D25" s="24"/>
      <c r="E25" s="37"/>
      <c r="F25" s="117">
        <f t="shared" ref="F25:G28" si="0">F26</f>
        <v>0</v>
      </c>
      <c r="G25" s="42">
        <f t="shared" si="0"/>
        <v>989</v>
      </c>
    </row>
    <row r="26" spans="1:7" s="39" customFormat="1" ht="15" x14ac:dyDescent="0.2">
      <c r="A26" s="74" t="s">
        <v>256</v>
      </c>
      <c r="B26" s="43" t="s">
        <v>570</v>
      </c>
      <c r="C26" s="24" t="s">
        <v>214</v>
      </c>
      <c r="D26" s="24"/>
      <c r="E26" s="37"/>
      <c r="F26" s="117">
        <f t="shared" si="0"/>
        <v>0</v>
      </c>
      <c r="G26" s="42">
        <f t="shared" si="0"/>
        <v>989</v>
      </c>
    </row>
    <row r="27" spans="1:7" s="39" customFormat="1" ht="15" x14ac:dyDescent="0.2">
      <c r="A27" s="74" t="s">
        <v>726</v>
      </c>
      <c r="B27" s="43" t="s">
        <v>570</v>
      </c>
      <c r="C27" s="24" t="s">
        <v>214</v>
      </c>
      <c r="D27" s="24" t="s">
        <v>235</v>
      </c>
      <c r="E27" s="37"/>
      <c r="F27" s="117">
        <f t="shared" si="0"/>
        <v>0</v>
      </c>
      <c r="G27" s="42">
        <f t="shared" si="0"/>
        <v>989</v>
      </c>
    </row>
    <row r="28" spans="1:7" s="39" customFormat="1" ht="15" x14ac:dyDescent="0.2">
      <c r="A28" s="84" t="s">
        <v>473</v>
      </c>
      <c r="B28" s="40" t="s">
        <v>570</v>
      </c>
      <c r="C28" s="30" t="s">
        <v>214</v>
      </c>
      <c r="D28" s="30" t="s">
        <v>235</v>
      </c>
      <c r="E28" s="31">
        <v>200</v>
      </c>
      <c r="F28" s="118">
        <f t="shared" si="0"/>
        <v>0</v>
      </c>
      <c r="G28" s="118">
        <f t="shared" si="0"/>
        <v>989</v>
      </c>
    </row>
    <row r="29" spans="1:7" s="39" customFormat="1" ht="15" x14ac:dyDescent="0.2">
      <c r="A29" s="84" t="s">
        <v>227</v>
      </c>
      <c r="B29" s="40" t="s">
        <v>570</v>
      </c>
      <c r="C29" s="30" t="s">
        <v>214</v>
      </c>
      <c r="D29" s="30" t="s">
        <v>235</v>
      </c>
      <c r="E29" s="31">
        <v>240</v>
      </c>
      <c r="F29" s="118">
        <v>0</v>
      </c>
      <c r="G29" s="118">
        <v>989</v>
      </c>
    </row>
    <row r="30" spans="1:7" s="39" customFormat="1" ht="24" x14ac:dyDescent="0.2">
      <c r="A30" s="75" t="s">
        <v>339</v>
      </c>
      <c r="B30" s="43" t="s">
        <v>279</v>
      </c>
      <c r="C30" s="24"/>
      <c r="D30" s="24"/>
      <c r="E30" s="37"/>
      <c r="F30" s="117">
        <f t="shared" ref="F30:G33" si="1">F31</f>
        <v>2100</v>
      </c>
      <c r="G30" s="117">
        <f t="shared" si="1"/>
        <v>2331</v>
      </c>
    </row>
    <row r="31" spans="1:7" s="39" customFormat="1" ht="15" x14ac:dyDescent="0.2">
      <c r="A31" s="74" t="s">
        <v>256</v>
      </c>
      <c r="B31" s="43" t="s">
        <v>279</v>
      </c>
      <c r="C31" s="24" t="s">
        <v>214</v>
      </c>
      <c r="D31" s="24"/>
      <c r="E31" s="37"/>
      <c r="F31" s="117">
        <f t="shared" si="1"/>
        <v>2100</v>
      </c>
      <c r="G31" s="117">
        <f t="shared" si="1"/>
        <v>2331</v>
      </c>
    </row>
    <row r="32" spans="1:7" s="39" customFormat="1" ht="15" x14ac:dyDescent="0.2">
      <c r="A32" s="74" t="s">
        <v>726</v>
      </c>
      <c r="B32" s="43" t="s">
        <v>279</v>
      </c>
      <c r="C32" s="24" t="s">
        <v>214</v>
      </c>
      <c r="D32" s="24" t="s">
        <v>235</v>
      </c>
      <c r="E32" s="37"/>
      <c r="F32" s="117">
        <f t="shared" si="1"/>
        <v>2100</v>
      </c>
      <c r="G32" s="117">
        <f t="shared" si="1"/>
        <v>2331</v>
      </c>
    </row>
    <row r="33" spans="1:7" s="39" customFormat="1" ht="15" x14ac:dyDescent="0.2">
      <c r="A33" s="84" t="s">
        <v>473</v>
      </c>
      <c r="B33" s="40" t="s">
        <v>279</v>
      </c>
      <c r="C33" s="30" t="s">
        <v>214</v>
      </c>
      <c r="D33" s="30" t="s">
        <v>235</v>
      </c>
      <c r="E33" s="31">
        <v>200</v>
      </c>
      <c r="F33" s="118">
        <f t="shared" si="1"/>
        <v>2100</v>
      </c>
      <c r="G33" s="118">
        <f t="shared" si="1"/>
        <v>2331</v>
      </c>
    </row>
    <row r="34" spans="1:7" s="39" customFormat="1" ht="15" x14ac:dyDescent="0.2">
      <c r="A34" s="84" t="s">
        <v>227</v>
      </c>
      <c r="B34" s="40" t="s">
        <v>279</v>
      </c>
      <c r="C34" s="30" t="s">
        <v>214</v>
      </c>
      <c r="D34" s="30" t="s">
        <v>235</v>
      </c>
      <c r="E34" s="31">
        <v>240</v>
      </c>
      <c r="F34" s="118">
        <v>2100</v>
      </c>
      <c r="G34" s="118">
        <v>2331</v>
      </c>
    </row>
    <row r="35" spans="1:7" s="39" customFormat="1" ht="27" x14ac:dyDescent="0.2">
      <c r="A35" s="98" t="s">
        <v>181</v>
      </c>
      <c r="B35" s="93" t="s">
        <v>420</v>
      </c>
      <c r="C35" s="53"/>
      <c r="D35" s="53"/>
      <c r="E35" s="58"/>
      <c r="F35" s="57">
        <f>F36+F41+F46+F51+F56+F61+F66+F71+F76</f>
        <v>7762</v>
      </c>
      <c r="G35" s="57">
        <f>G36+G41+G46+G51+G56+G61+G66+G71+G76</f>
        <v>7392</v>
      </c>
    </row>
    <row r="36" spans="1:7" s="39" customFormat="1" ht="24" x14ac:dyDescent="0.2">
      <c r="A36" s="75" t="s">
        <v>154</v>
      </c>
      <c r="B36" s="43" t="s">
        <v>182</v>
      </c>
      <c r="C36" s="24"/>
      <c r="D36" s="24"/>
      <c r="E36" s="37"/>
      <c r="F36" s="42">
        <f t="shared" ref="F36:G39" si="2">F37</f>
        <v>920</v>
      </c>
      <c r="G36" s="42">
        <f t="shared" si="2"/>
        <v>1195</v>
      </c>
    </row>
    <row r="37" spans="1:7" s="39" customFormat="1" ht="15" x14ac:dyDescent="0.2">
      <c r="A37" s="74" t="s">
        <v>256</v>
      </c>
      <c r="B37" s="43" t="s">
        <v>182</v>
      </c>
      <c r="C37" s="24" t="s">
        <v>214</v>
      </c>
      <c r="D37" s="24"/>
      <c r="E37" s="37"/>
      <c r="F37" s="42">
        <f t="shared" si="2"/>
        <v>920</v>
      </c>
      <c r="G37" s="42">
        <f t="shared" si="2"/>
        <v>1195</v>
      </c>
    </row>
    <row r="38" spans="1:7" s="39" customFormat="1" ht="15" x14ac:dyDescent="0.2">
      <c r="A38" s="74" t="s">
        <v>726</v>
      </c>
      <c r="B38" s="43" t="s">
        <v>182</v>
      </c>
      <c r="C38" s="24" t="s">
        <v>214</v>
      </c>
      <c r="D38" s="24" t="s">
        <v>235</v>
      </c>
      <c r="E38" s="37"/>
      <c r="F38" s="42">
        <f t="shared" si="2"/>
        <v>920</v>
      </c>
      <c r="G38" s="42">
        <f t="shared" si="2"/>
        <v>1195</v>
      </c>
    </row>
    <row r="39" spans="1:7" s="39" customFormat="1" ht="15" x14ac:dyDescent="0.2">
      <c r="A39" s="84" t="s">
        <v>473</v>
      </c>
      <c r="B39" s="40" t="s">
        <v>182</v>
      </c>
      <c r="C39" s="30" t="s">
        <v>214</v>
      </c>
      <c r="D39" s="30" t="s">
        <v>235</v>
      </c>
      <c r="E39" s="31">
        <v>200</v>
      </c>
      <c r="F39" s="41">
        <f t="shared" si="2"/>
        <v>920</v>
      </c>
      <c r="G39" s="41">
        <f t="shared" si="2"/>
        <v>1195</v>
      </c>
    </row>
    <row r="40" spans="1:7" s="39" customFormat="1" ht="15" x14ac:dyDescent="0.2">
      <c r="A40" s="84" t="s">
        <v>227</v>
      </c>
      <c r="B40" s="40" t="s">
        <v>182</v>
      </c>
      <c r="C40" s="30" t="s">
        <v>214</v>
      </c>
      <c r="D40" s="30" t="s">
        <v>235</v>
      </c>
      <c r="E40" s="31">
        <v>240</v>
      </c>
      <c r="F40" s="41">
        <f>2120-161-1039</f>
        <v>920</v>
      </c>
      <c r="G40" s="41">
        <f>2354-120-1039</f>
        <v>1195</v>
      </c>
    </row>
    <row r="41" spans="1:7" s="39" customFormat="1" ht="24" x14ac:dyDescent="0.2">
      <c r="A41" s="75" t="s">
        <v>155</v>
      </c>
      <c r="B41" s="43" t="s">
        <v>183</v>
      </c>
      <c r="C41" s="24"/>
      <c r="D41" s="24"/>
      <c r="E41" s="31"/>
      <c r="F41" s="42">
        <f t="shared" ref="F41:G44" si="3">F42</f>
        <v>536</v>
      </c>
      <c r="G41" s="42">
        <f t="shared" si="3"/>
        <v>537</v>
      </c>
    </row>
    <row r="42" spans="1:7" s="39" customFormat="1" ht="15" x14ac:dyDescent="0.2">
      <c r="A42" s="75" t="s">
        <v>256</v>
      </c>
      <c r="B42" s="43" t="s">
        <v>183</v>
      </c>
      <c r="C42" s="24" t="s">
        <v>214</v>
      </c>
      <c r="D42" s="24"/>
      <c r="E42" s="31"/>
      <c r="F42" s="42">
        <f t="shared" si="3"/>
        <v>536</v>
      </c>
      <c r="G42" s="42">
        <f t="shared" si="3"/>
        <v>537</v>
      </c>
    </row>
    <row r="43" spans="1:7" s="39" customFormat="1" ht="15" x14ac:dyDescent="0.2">
      <c r="A43" s="75" t="s">
        <v>726</v>
      </c>
      <c r="B43" s="43" t="s">
        <v>183</v>
      </c>
      <c r="C43" s="24" t="s">
        <v>214</v>
      </c>
      <c r="D43" s="24" t="s">
        <v>235</v>
      </c>
      <c r="E43" s="31"/>
      <c r="F43" s="42">
        <f t="shared" si="3"/>
        <v>536</v>
      </c>
      <c r="G43" s="42">
        <f t="shared" si="3"/>
        <v>537</v>
      </c>
    </row>
    <row r="44" spans="1:7" s="39" customFormat="1" ht="15" x14ac:dyDescent="0.2">
      <c r="A44" s="84" t="s">
        <v>473</v>
      </c>
      <c r="B44" s="40" t="s">
        <v>183</v>
      </c>
      <c r="C44" s="30" t="s">
        <v>214</v>
      </c>
      <c r="D44" s="30" t="s">
        <v>235</v>
      </c>
      <c r="E44" s="31">
        <v>200</v>
      </c>
      <c r="F44" s="41">
        <f t="shared" si="3"/>
        <v>536</v>
      </c>
      <c r="G44" s="41">
        <f t="shared" si="3"/>
        <v>537</v>
      </c>
    </row>
    <row r="45" spans="1:7" s="39" customFormat="1" ht="15" x14ac:dyDescent="0.2">
      <c r="A45" s="84" t="s">
        <v>227</v>
      </c>
      <c r="B45" s="40" t="s">
        <v>183</v>
      </c>
      <c r="C45" s="30" t="s">
        <v>214</v>
      </c>
      <c r="D45" s="30" t="s">
        <v>235</v>
      </c>
      <c r="E45" s="31">
        <v>240</v>
      </c>
      <c r="F45" s="41">
        <f>375+161</f>
        <v>536</v>
      </c>
      <c r="G45" s="41">
        <f>417+120</f>
        <v>537</v>
      </c>
    </row>
    <row r="46" spans="1:7" s="39" customFormat="1" ht="24" x14ac:dyDescent="0.2">
      <c r="A46" s="75" t="s">
        <v>571</v>
      </c>
      <c r="B46" s="43" t="s">
        <v>572</v>
      </c>
      <c r="C46" s="24"/>
      <c r="D46" s="24"/>
      <c r="E46" s="31"/>
      <c r="F46" s="117">
        <f t="shared" ref="F46:G49" si="4">F47</f>
        <v>1210</v>
      </c>
      <c r="G46" s="117">
        <f t="shared" si="4"/>
        <v>0</v>
      </c>
    </row>
    <row r="47" spans="1:7" s="39" customFormat="1" ht="15" x14ac:dyDescent="0.2">
      <c r="A47" s="75" t="s">
        <v>256</v>
      </c>
      <c r="B47" s="43" t="s">
        <v>572</v>
      </c>
      <c r="C47" s="24" t="s">
        <v>214</v>
      </c>
      <c r="D47" s="24"/>
      <c r="E47" s="31"/>
      <c r="F47" s="117">
        <f t="shared" si="4"/>
        <v>1210</v>
      </c>
      <c r="G47" s="117">
        <f t="shared" si="4"/>
        <v>0</v>
      </c>
    </row>
    <row r="48" spans="1:7" s="39" customFormat="1" ht="15" x14ac:dyDescent="0.2">
      <c r="A48" s="75" t="s">
        <v>726</v>
      </c>
      <c r="B48" s="43" t="s">
        <v>572</v>
      </c>
      <c r="C48" s="24" t="s">
        <v>214</v>
      </c>
      <c r="D48" s="24" t="s">
        <v>235</v>
      </c>
      <c r="E48" s="31"/>
      <c r="F48" s="117">
        <f t="shared" si="4"/>
        <v>1210</v>
      </c>
      <c r="G48" s="117">
        <f t="shared" si="4"/>
        <v>0</v>
      </c>
    </row>
    <row r="49" spans="1:7" s="39" customFormat="1" ht="15" x14ac:dyDescent="0.2">
      <c r="A49" s="84" t="s">
        <v>473</v>
      </c>
      <c r="B49" s="40" t="s">
        <v>572</v>
      </c>
      <c r="C49" s="30" t="s">
        <v>214</v>
      </c>
      <c r="D49" s="30" t="s">
        <v>235</v>
      </c>
      <c r="E49" s="31">
        <v>200</v>
      </c>
      <c r="F49" s="118">
        <f t="shared" si="4"/>
        <v>1210</v>
      </c>
      <c r="G49" s="118">
        <f t="shared" si="4"/>
        <v>0</v>
      </c>
    </row>
    <row r="50" spans="1:7" s="39" customFormat="1" ht="15" x14ac:dyDescent="0.2">
      <c r="A50" s="84" t="s">
        <v>227</v>
      </c>
      <c r="B50" s="40" t="s">
        <v>572</v>
      </c>
      <c r="C50" s="30" t="s">
        <v>214</v>
      </c>
      <c r="D50" s="30" t="s">
        <v>235</v>
      </c>
      <c r="E50" s="31">
        <v>240</v>
      </c>
      <c r="F50" s="118">
        <v>1210</v>
      </c>
      <c r="G50" s="118">
        <v>0</v>
      </c>
    </row>
    <row r="51" spans="1:7" s="39" customFormat="1" ht="36" x14ac:dyDescent="0.2">
      <c r="A51" s="75" t="s">
        <v>156</v>
      </c>
      <c r="B51" s="43" t="s">
        <v>184</v>
      </c>
      <c r="C51" s="24"/>
      <c r="D51" s="24"/>
      <c r="E51" s="31"/>
      <c r="F51" s="42">
        <f t="shared" ref="F51:G54" si="5">F52</f>
        <v>424</v>
      </c>
      <c r="G51" s="42">
        <f t="shared" si="5"/>
        <v>471</v>
      </c>
    </row>
    <row r="52" spans="1:7" s="39" customFormat="1" ht="15" x14ac:dyDescent="0.2">
      <c r="A52" s="75" t="s">
        <v>256</v>
      </c>
      <c r="B52" s="43" t="s">
        <v>184</v>
      </c>
      <c r="C52" s="24" t="s">
        <v>214</v>
      </c>
      <c r="D52" s="24"/>
      <c r="E52" s="31"/>
      <c r="F52" s="42">
        <f t="shared" si="5"/>
        <v>424</v>
      </c>
      <c r="G52" s="42">
        <f t="shared" si="5"/>
        <v>471</v>
      </c>
    </row>
    <row r="53" spans="1:7" s="39" customFormat="1" ht="15" x14ac:dyDescent="0.2">
      <c r="A53" s="75" t="s">
        <v>726</v>
      </c>
      <c r="B53" s="43" t="s">
        <v>184</v>
      </c>
      <c r="C53" s="24" t="s">
        <v>214</v>
      </c>
      <c r="D53" s="24" t="s">
        <v>235</v>
      </c>
      <c r="E53" s="31"/>
      <c r="F53" s="42">
        <f t="shared" si="5"/>
        <v>424</v>
      </c>
      <c r="G53" s="42">
        <f t="shared" si="5"/>
        <v>471</v>
      </c>
    </row>
    <row r="54" spans="1:7" s="39" customFormat="1" ht="15" x14ac:dyDescent="0.2">
      <c r="A54" s="84" t="s">
        <v>473</v>
      </c>
      <c r="B54" s="40" t="s">
        <v>184</v>
      </c>
      <c r="C54" s="30" t="s">
        <v>214</v>
      </c>
      <c r="D54" s="30" t="s">
        <v>235</v>
      </c>
      <c r="E54" s="31">
        <v>200</v>
      </c>
      <c r="F54" s="41">
        <f t="shared" si="5"/>
        <v>424</v>
      </c>
      <c r="G54" s="41">
        <f t="shared" si="5"/>
        <v>471</v>
      </c>
    </row>
    <row r="55" spans="1:7" s="39" customFormat="1" ht="15" x14ac:dyDescent="0.2">
      <c r="A55" s="84" t="s">
        <v>227</v>
      </c>
      <c r="B55" s="40" t="s">
        <v>184</v>
      </c>
      <c r="C55" s="30" t="s">
        <v>214</v>
      </c>
      <c r="D55" s="30" t="s">
        <v>235</v>
      </c>
      <c r="E55" s="31">
        <v>240</v>
      </c>
      <c r="F55" s="41">
        <v>424</v>
      </c>
      <c r="G55" s="41">
        <v>471</v>
      </c>
    </row>
    <row r="56" spans="1:7" s="39" customFormat="1" ht="15" x14ac:dyDescent="0.2">
      <c r="A56" s="75" t="s">
        <v>157</v>
      </c>
      <c r="B56" s="43" t="s">
        <v>185</v>
      </c>
      <c r="C56" s="24"/>
      <c r="D56" s="24"/>
      <c r="E56" s="31"/>
      <c r="F56" s="42">
        <f t="shared" ref="F56:G59" si="6">F57</f>
        <v>332</v>
      </c>
      <c r="G56" s="42">
        <f t="shared" si="6"/>
        <v>369</v>
      </c>
    </row>
    <row r="57" spans="1:7" s="39" customFormat="1" ht="15" x14ac:dyDescent="0.2">
      <c r="A57" s="74" t="s">
        <v>256</v>
      </c>
      <c r="B57" s="43" t="s">
        <v>185</v>
      </c>
      <c r="C57" s="24" t="s">
        <v>214</v>
      </c>
      <c r="D57" s="24"/>
      <c r="E57" s="31"/>
      <c r="F57" s="42">
        <f t="shared" si="6"/>
        <v>332</v>
      </c>
      <c r="G57" s="42">
        <f t="shared" si="6"/>
        <v>369</v>
      </c>
    </row>
    <row r="58" spans="1:7" s="39" customFormat="1" ht="15" x14ac:dyDescent="0.2">
      <c r="A58" s="74" t="s">
        <v>726</v>
      </c>
      <c r="B58" s="43" t="s">
        <v>185</v>
      </c>
      <c r="C58" s="24" t="s">
        <v>214</v>
      </c>
      <c r="D58" s="24" t="s">
        <v>235</v>
      </c>
      <c r="E58" s="31"/>
      <c r="F58" s="42">
        <f t="shared" si="6"/>
        <v>332</v>
      </c>
      <c r="G58" s="42">
        <f t="shared" si="6"/>
        <v>369</v>
      </c>
    </row>
    <row r="59" spans="1:7" s="39" customFormat="1" ht="15" x14ac:dyDescent="0.2">
      <c r="A59" s="84" t="s">
        <v>473</v>
      </c>
      <c r="B59" s="40" t="s">
        <v>185</v>
      </c>
      <c r="C59" s="30" t="s">
        <v>214</v>
      </c>
      <c r="D59" s="30" t="s">
        <v>235</v>
      </c>
      <c r="E59" s="31">
        <v>200</v>
      </c>
      <c r="F59" s="41">
        <f t="shared" si="6"/>
        <v>332</v>
      </c>
      <c r="G59" s="41">
        <f t="shared" si="6"/>
        <v>369</v>
      </c>
    </row>
    <row r="60" spans="1:7" s="39" customFormat="1" ht="15" x14ac:dyDescent="0.2">
      <c r="A60" s="84" t="s">
        <v>227</v>
      </c>
      <c r="B60" s="40" t="s">
        <v>185</v>
      </c>
      <c r="C60" s="30" t="s">
        <v>214</v>
      </c>
      <c r="D60" s="30" t="s">
        <v>235</v>
      </c>
      <c r="E60" s="31">
        <v>240</v>
      </c>
      <c r="F60" s="41">
        <v>332</v>
      </c>
      <c r="G60" s="41">
        <v>369</v>
      </c>
    </row>
    <row r="61" spans="1:7" s="39" customFormat="1" ht="24" x14ac:dyDescent="0.2">
      <c r="A61" s="75" t="s">
        <v>158</v>
      </c>
      <c r="B61" s="43" t="s">
        <v>186</v>
      </c>
      <c r="C61" s="24" t="s">
        <v>214</v>
      </c>
      <c r="D61" s="24" t="s">
        <v>235</v>
      </c>
      <c r="E61" s="31"/>
      <c r="F61" s="42">
        <f t="shared" ref="F61:G64" si="7">F62</f>
        <v>876</v>
      </c>
      <c r="G61" s="42">
        <f t="shared" si="7"/>
        <v>973</v>
      </c>
    </row>
    <row r="62" spans="1:7" s="39" customFormat="1" ht="15" x14ac:dyDescent="0.2">
      <c r="A62" s="74" t="s">
        <v>256</v>
      </c>
      <c r="B62" s="43" t="s">
        <v>186</v>
      </c>
      <c r="C62" s="24" t="s">
        <v>214</v>
      </c>
      <c r="D62" s="24"/>
      <c r="E62" s="31"/>
      <c r="F62" s="42">
        <f t="shared" si="7"/>
        <v>876</v>
      </c>
      <c r="G62" s="42">
        <f t="shared" si="7"/>
        <v>973</v>
      </c>
    </row>
    <row r="63" spans="1:7" s="39" customFormat="1" ht="15" x14ac:dyDescent="0.2">
      <c r="A63" s="74" t="s">
        <v>726</v>
      </c>
      <c r="B63" s="43" t="s">
        <v>186</v>
      </c>
      <c r="C63" s="24" t="s">
        <v>214</v>
      </c>
      <c r="D63" s="24" t="s">
        <v>235</v>
      </c>
      <c r="E63" s="31"/>
      <c r="F63" s="42">
        <f t="shared" si="7"/>
        <v>876</v>
      </c>
      <c r="G63" s="42">
        <f t="shared" si="7"/>
        <v>973</v>
      </c>
    </row>
    <row r="64" spans="1:7" s="39" customFormat="1" ht="15" x14ac:dyDescent="0.2">
      <c r="A64" s="84" t="s">
        <v>473</v>
      </c>
      <c r="B64" s="40" t="s">
        <v>186</v>
      </c>
      <c r="C64" s="30" t="s">
        <v>214</v>
      </c>
      <c r="D64" s="30" t="s">
        <v>235</v>
      </c>
      <c r="E64" s="31">
        <v>200</v>
      </c>
      <c r="F64" s="41">
        <f t="shared" si="7"/>
        <v>876</v>
      </c>
      <c r="G64" s="41">
        <f t="shared" si="7"/>
        <v>973</v>
      </c>
    </row>
    <row r="65" spans="1:7" s="39" customFormat="1" ht="15" x14ac:dyDescent="0.2">
      <c r="A65" s="84" t="s">
        <v>227</v>
      </c>
      <c r="B65" s="40" t="s">
        <v>186</v>
      </c>
      <c r="C65" s="30" t="s">
        <v>214</v>
      </c>
      <c r="D65" s="30" t="s">
        <v>235</v>
      </c>
      <c r="E65" s="31">
        <v>240</v>
      </c>
      <c r="F65" s="41">
        <v>876</v>
      </c>
      <c r="G65" s="41">
        <v>973</v>
      </c>
    </row>
    <row r="66" spans="1:7" s="39" customFormat="1" ht="15" x14ac:dyDescent="0.2">
      <c r="A66" s="75" t="s">
        <v>424</v>
      </c>
      <c r="B66" s="43" t="s">
        <v>187</v>
      </c>
      <c r="C66" s="24"/>
      <c r="D66" s="24"/>
      <c r="E66" s="31"/>
      <c r="F66" s="42">
        <f t="shared" ref="F66:G69" si="8">F67</f>
        <v>1029</v>
      </c>
      <c r="G66" s="42">
        <f t="shared" si="8"/>
        <v>1143</v>
      </c>
    </row>
    <row r="67" spans="1:7" s="39" customFormat="1" ht="15" x14ac:dyDescent="0.2">
      <c r="A67" s="74" t="s">
        <v>256</v>
      </c>
      <c r="B67" s="43" t="s">
        <v>187</v>
      </c>
      <c r="C67" s="24" t="s">
        <v>214</v>
      </c>
      <c r="D67" s="24"/>
      <c r="E67" s="31"/>
      <c r="F67" s="42">
        <f t="shared" si="8"/>
        <v>1029</v>
      </c>
      <c r="G67" s="42">
        <f t="shared" si="8"/>
        <v>1143</v>
      </c>
    </row>
    <row r="68" spans="1:7" s="39" customFormat="1" ht="15" x14ac:dyDescent="0.2">
      <c r="A68" s="74" t="s">
        <v>726</v>
      </c>
      <c r="B68" s="43" t="s">
        <v>187</v>
      </c>
      <c r="C68" s="24" t="s">
        <v>214</v>
      </c>
      <c r="D68" s="24" t="s">
        <v>235</v>
      </c>
      <c r="E68" s="31"/>
      <c r="F68" s="42">
        <f t="shared" si="8"/>
        <v>1029</v>
      </c>
      <c r="G68" s="42">
        <f t="shared" si="8"/>
        <v>1143</v>
      </c>
    </row>
    <row r="69" spans="1:7" s="39" customFormat="1" ht="15" x14ac:dyDescent="0.2">
      <c r="A69" s="84" t="s">
        <v>473</v>
      </c>
      <c r="B69" s="40" t="s">
        <v>187</v>
      </c>
      <c r="C69" s="30" t="s">
        <v>214</v>
      </c>
      <c r="D69" s="30" t="s">
        <v>235</v>
      </c>
      <c r="E69" s="31">
        <v>200</v>
      </c>
      <c r="F69" s="41">
        <f t="shared" si="8"/>
        <v>1029</v>
      </c>
      <c r="G69" s="41">
        <f t="shared" si="8"/>
        <v>1143</v>
      </c>
    </row>
    <row r="70" spans="1:7" s="39" customFormat="1" ht="15" x14ac:dyDescent="0.2">
      <c r="A70" s="84" t="s">
        <v>227</v>
      </c>
      <c r="B70" s="40" t="s">
        <v>187</v>
      </c>
      <c r="C70" s="30" t="s">
        <v>214</v>
      </c>
      <c r="D70" s="30" t="s">
        <v>235</v>
      </c>
      <c r="E70" s="31">
        <v>240</v>
      </c>
      <c r="F70" s="41">
        <v>1029</v>
      </c>
      <c r="G70" s="41">
        <v>1143</v>
      </c>
    </row>
    <row r="71" spans="1:7" s="39" customFormat="1" ht="15" x14ac:dyDescent="0.2">
      <c r="A71" s="80" t="s">
        <v>159</v>
      </c>
      <c r="B71" s="43" t="s">
        <v>188</v>
      </c>
      <c r="C71" s="24"/>
      <c r="D71" s="24"/>
      <c r="E71" s="31"/>
      <c r="F71" s="42">
        <f t="shared" ref="F71:G74" si="9">F72</f>
        <v>1315</v>
      </c>
      <c r="G71" s="42">
        <f t="shared" si="9"/>
        <v>1460</v>
      </c>
    </row>
    <row r="72" spans="1:7" s="39" customFormat="1" ht="15" x14ac:dyDescent="0.2">
      <c r="A72" s="74" t="s">
        <v>256</v>
      </c>
      <c r="B72" s="43" t="s">
        <v>188</v>
      </c>
      <c r="C72" s="24" t="s">
        <v>214</v>
      </c>
      <c r="D72" s="24"/>
      <c r="E72" s="31"/>
      <c r="F72" s="42">
        <f t="shared" si="9"/>
        <v>1315</v>
      </c>
      <c r="G72" s="42">
        <f t="shared" si="9"/>
        <v>1460</v>
      </c>
    </row>
    <row r="73" spans="1:7" s="39" customFormat="1" ht="15" x14ac:dyDescent="0.2">
      <c r="A73" s="74" t="s">
        <v>726</v>
      </c>
      <c r="B73" s="43" t="s">
        <v>188</v>
      </c>
      <c r="C73" s="24" t="s">
        <v>214</v>
      </c>
      <c r="D73" s="24" t="s">
        <v>235</v>
      </c>
      <c r="E73" s="31"/>
      <c r="F73" s="42">
        <f t="shared" si="9"/>
        <v>1315</v>
      </c>
      <c r="G73" s="42">
        <f t="shared" si="9"/>
        <v>1460</v>
      </c>
    </row>
    <row r="74" spans="1:7" s="39" customFormat="1" ht="15" x14ac:dyDescent="0.2">
      <c r="A74" s="84" t="s">
        <v>473</v>
      </c>
      <c r="B74" s="40" t="s">
        <v>188</v>
      </c>
      <c r="C74" s="30" t="s">
        <v>214</v>
      </c>
      <c r="D74" s="30" t="s">
        <v>235</v>
      </c>
      <c r="E74" s="31">
        <v>200</v>
      </c>
      <c r="F74" s="41">
        <f t="shared" si="9"/>
        <v>1315</v>
      </c>
      <c r="G74" s="41">
        <f t="shared" si="9"/>
        <v>1460</v>
      </c>
    </row>
    <row r="75" spans="1:7" s="39" customFormat="1" ht="15" x14ac:dyDescent="0.2">
      <c r="A75" s="84" t="s">
        <v>227</v>
      </c>
      <c r="B75" s="40" t="s">
        <v>188</v>
      </c>
      <c r="C75" s="30" t="s">
        <v>214</v>
      </c>
      <c r="D75" s="30" t="s">
        <v>235</v>
      </c>
      <c r="E75" s="31">
        <v>240</v>
      </c>
      <c r="F75" s="41">
        <v>1315</v>
      </c>
      <c r="G75" s="41">
        <v>1460</v>
      </c>
    </row>
    <row r="76" spans="1:7" s="39" customFormat="1" ht="24" x14ac:dyDescent="0.2">
      <c r="A76" s="80" t="s">
        <v>421</v>
      </c>
      <c r="B76" s="43" t="s">
        <v>189</v>
      </c>
      <c r="C76" s="24"/>
      <c r="D76" s="24"/>
      <c r="E76" s="37"/>
      <c r="F76" s="117">
        <f t="shared" ref="F76:G79" si="10">F77</f>
        <v>1120</v>
      </c>
      <c r="G76" s="117">
        <f t="shared" si="10"/>
        <v>1244</v>
      </c>
    </row>
    <row r="77" spans="1:7" s="39" customFormat="1" ht="15" x14ac:dyDescent="0.2">
      <c r="A77" s="75" t="s">
        <v>256</v>
      </c>
      <c r="B77" s="43" t="s">
        <v>189</v>
      </c>
      <c r="C77" s="24" t="s">
        <v>214</v>
      </c>
      <c r="D77" s="24"/>
      <c r="E77" s="37"/>
      <c r="F77" s="117">
        <f t="shared" si="10"/>
        <v>1120</v>
      </c>
      <c r="G77" s="117">
        <f t="shared" si="10"/>
        <v>1244</v>
      </c>
    </row>
    <row r="78" spans="1:7" s="39" customFormat="1" ht="15" x14ac:dyDescent="0.2">
      <c r="A78" s="75" t="s">
        <v>726</v>
      </c>
      <c r="B78" s="43" t="s">
        <v>189</v>
      </c>
      <c r="C78" s="24" t="s">
        <v>214</v>
      </c>
      <c r="D78" s="24" t="s">
        <v>235</v>
      </c>
      <c r="E78" s="37"/>
      <c r="F78" s="117">
        <f t="shared" si="10"/>
        <v>1120</v>
      </c>
      <c r="G78" s="117">
        <f t="shared" si="10"/>
        <v>1244</v>
      </c>
    </row>
    <row r="79" spans="1:7" s="39" customFormat="1" ht="15" x14ac:dyDescent="0.2">
      <c r="A79" s="84" t="s">
        <v>473</v>
      </c>
      <c r="B79" s="40" t="s">
        <v>189</v>
      </c>
      <c r="C79" s="30" t="s">
        <v>214</v>
      </c>
      <c r="D79" s="30" t="s">
        <v>235</v>
      </c>
      <c r="E79" s="31">
        <v>200</v>
      </c>
      <c r="F79" s="118">
        <f t="shared" si="10"/>
        <v>1120</v>
      </c>
      <c r="G79" s="118">
        <f t="shared" si="10"/>
        <v>1244</v>
      </c>
    </row>
    <row r="80" spans="1:7" s="39" customFormat="1" ht="15" x14ac:dyDescent="0.2">
      <c r="A80" s="84" t="s">
        <v>227</v>
      </c>
      <c r="B80" s="40" t="s">
        <v>189</v>
      </c>
      <c r="C80" s="30" t="s">
        <v>214</v>
      </c>
      <c r="D80" s="30" t="s">
        <v>235</v>
      </c>
      <c r="E80" s="31">
        <v>240</v>
      </c>
      <c r="F80" s="118">
        <v>1120</v>
      </c>
      <c r="G80" s="118">
        <v>1244</v>
      </c>
    </row>
    <row r="81" spans="1:7" s="39" customFormat="1" ht="15" x14ac:dyDescent="0.2">
      <c r="A81" s="86" t="s">
        <v>160</v>
      </c>
      <c r="B81" s="93" t="s">
        <v>161</v>
      </c>
      <c r="C81" s="53"/>
      <c r="D81" s="53"/>
      <c r="E81" s="58"/>
      <c r="F81" s="57">
        <f>F82+F87+F92+F97+F102</f>
        <v>2526</v>
      </c>
      <c r="G81" s="57">
        <f>G82+G87+G92+G97+G102</f>
        <v>3249</v>
      </c>
    </row>
    <row r="82" spans="1:7" s="39" customFormat="1" ht="15" x14ac:dyDescent="0.2">
      <c r="A82" s="80" t="s">
        <v>422</v>
      </c>
      <c r="B82" s="24" t="s">
        <v>190</v>
      </c>
      <c r="C82" s="24"/>
      <c r="D82" s="24"/>
      <c r="E82" s="37"/>
      <c r="F82" s="42">
        <f t="shared" ref="F82:G85" si="11">F83</f>
        <v>400</v>
      </c>
      <c r="G82" s="42">
        <f t="shared" si="11"/>
        <v>444</v>
      </c>
    </row>
    <row r="83" spans="1:7" s="39" customFormat="1" ht="15" x14ac:dyDescent="0.2">
      <c r="A83" s="75" t="s">
        <v>256</v>
      </c>
      <c r="B83" s="24" t="s">
        <v>190</v>
      </c>
      <c r="C83" s="24" t="s">
        <v>214</v>
      </c>
      <c r="D83" s="24"/>
      <c r="E83" s="37"/>
      <c r="F83" s="42">
        <f t="shared" si="11"/>
        <v>400</v>
      </c>
      <c r="G83" s="42">
        <f t="shared" si="11"/>
        <v>444</v>
      </c>
    </row>
    <row r="84" spans="1:7" s="39" customFormat="1" ht="15" x14ac:dyDescent="0.2">
      <c r="A84" s="74" t="s">
        <v>726</v>
      </c>
      <c r="B84" s="24" t="s">
        <v>190</v>
      </c>
      <c r="C84" s="24" t="s">
        <v>214</v>
      </c>
      <c r="D84" s="24" t="s">
        <v>235</v>
      </c>
      <c r="E84" s="37"/>
      <c r="F84" s="42">
        <f t="shared" si="11"/>
        <v>400</v>
      </c>
      <c r="G84" s="42">
        <f t="shared" si="11"/>
        <v>444</v>
      </c>
    </row>
    <row r="85" spans="1:7" s="39" customFormat="1" ht="15" x14ac:dyDescent="0.2">
      <c r="A85" s="84" t="s">
        <v>473</v>
      </c>
      <c r="B85" s="40" t="s">
        <v>190</v>
      </c>
      <c r="C85" s="30" t="s">
        <v>214</v>
      </c>
      <c r="D85" s="30" t="s">
        <v>235</v>
      </c>
      <c r="E85" s="31">
        <v>200</v>
      </c>
      <c r="F85" s="41">
        <f t="shared" si="11"/>
        <v>400</v>
      </c>
      <c r="G85" s="41">
        <f t="shared" si="11"/>
        <v>444</v>
      </c>
    </row>
    <row r="86" spans="1:7" s="39" customFormat="1" ht="15" x14ac:dyDescent="0.2">
      <c r="A86" s="84" t="s">
        <v>227</v>
      </c>
      <c r="B86" s="40" t="s">
        <v>190</v>
      </c>
      <c r="C86" s="30" t="s">
        <v>214</v>
      </c>
      <c r="D86" s="30" t="s">
        <v>235</v>
      </c>
      <c r="E86" s="31">
        <v>240</v>
      </c>
      <c r="F86" s="41">
        <v>400</v>
      </c>
      <c r="G86" s="41">
        <v>444</v>
      </c>
    </row>
    <row r="87" spans="1:7" s="39" customFormat="1" ht="15" x14ac:dyDescent="0.2">
      <c r="A87" s="75" t="s">
        <v>573</v>
      </c>
      <c r="B87" s="24" t="s">
        <v>574</v>
      </c>
      <c r="C87" s="24"/>
      <c r="D87" s="24"/>
      <c r="E87" s="37"/>
      <c r="F87" s="42">
        <f t="shared" ref="F87:G90" si="12">F88</f>
        <v>946</v>
      </c>
      <c r="G87" s="42">
        <f t="shared" si="12"/>
        <v>1050</v>
      </c>
    </row>
    <row r="88" spans="1:7" s="39" customFormat="1" ht="15" x14ac:dyDescent="0.2">
      <c r="A88" s="74" t="s">
        <v>256</v>
      </c>
      <c r="B88" s="24" t="s">
        <v>574</v>
      </c>
      <c r="C88" s="24" t="s">
        <v>214</v>
      </c>
      <c r="D88" s="24"/>
      <c r="E88" s="37"/>
      <c r="F88" s="42">
        <f t="shared" si="12"/>
        <v>946</v>
      </c>
      <c r="G88" s="42">
        <f t="shared" si="12"/>
        <v>1050</v>
      </c>
    </row>
    <row r="89" spans="1:7" s="39" customFormat="1" ht="15" x14ac:dyDescent="0.2">
      <c r="A89" s="74" t="s">
        <v>726</v>
      </c>
      <c r="B89" s="24" t="s">
        <v>574</v>
      </c>
      <c r="C89" s="24" t="s">
        <v>214</v>
      </c>
      <c r="D89" s="24" t="s">
        <v>235</v>
      </c>
      <c r="E89" s="37"/>
      <c r="F89" s="42">
        <f t="shared" si="12"/>
        <v>946</v>
      </c>
      <c r="G89" s="42">
        <f t="shared" si="12"/>
        <v>1050</v>
      </c>
    </row>
    <row r="90" spans="1:7" s="39" customFormat="1" ht="15" x14ac:dyDescent="0.2">
      <c r="A90" s="84" t="s">
        <v>473</v>
      </c>
      <c r="B90" s="40" t="s">
        <v>574</v>
      </c>
      <c r="C90" s="30" t="s">
        <v>214</v>
      </c>
      <c r="D90" s="30" t="s">
        <v>235</v>
      </c>
      <c r="E90" s="31">
        <v>200</v>
      </c>
      <c r="F90" s="41">
        <f t="shared" si="12"/>
        <v>946</v>
      </c>
      <c r="G90" s="41">
        <f t="shared" si="12"/>
        <v>1050</v>
      </c>
    </row>
    <row r="91" spans="1:7" s="39" customFormat="1" ht="15" x14ac:dyDescent="0.2">
      <c r="A91" s="84" t="s">
        <v>227</v>
      </c>
      <c r="B91" s="40" t="s">
        <v>574</v>
      </c>
      <c r="C91" s="30" t="s">
        <v>214</v>
      </c>
      <c r="D91" s="30" t="s">
        <v>235</v>
      </c>
      <c r="E91" s="31">
        <v>240</v>
      </c>
      <c r="F91" s="41">
        <v>946</v>
      </c>
      <c r="G91" s="41">
        <v>1050</v>
      </c>
    </row>
    <row r="92" spans="1:7" s="39" customFormat="1" ht="24" x14ac:dyDescent="0.2">
      <c r="A92" s="75" t="s">
        <v>575</v>
      </c>
      <c r="B92" s="24" t="s">
        <v>576</v>
      </c>
      <c r="C92" s="24"/>
      <c r="D92" s="24"/>
      <c r="E92" s="37"/>
      <c r="F92" s="42">
        <f t="shared" ref="F92:G95" si="13">F93</f>
        <v>152</v>
      </c>
      <c r="G92" s="42">
        <f t="shared" si="13"/>
        <v>169</v>
      </c>
    </row>
    <row r="93" spans="1:7" s="39" customFormat="1" ht="15" x14ac:dyDescent="0.2">
      <c r="A93" s="74" t="s">
        <v>256</v>
      </c>
      <c r="B93" s="24" t="s">
        <v>576</v>
      </c>
      <c r="C93" s="24" t="s">
        <v>214</v>
      </c>
      <c r="D93" s="24"/>
      <c r="E93" s="37"/>
      <c r="F93" s="42">
        <f t="shared" si="13"/>
        <v>152</v>
      </c>
      <c r="G93" s="42">
        <f t="shared" si="13"/>
        <v>169</v>
      </c>
    </row>
    <row r="94" spans="1:7" s="39" customFormat="1" ht="15" x14ac:dyDescent="0.2">
      <c r="A94" s="74" t="s">
        <v>726</v>
      </c>
      <c r="B94" s="24" t="s">
        <v>576</v>
      </c>
      <c r="C94" s="24" t="s">
        <v>214</v>
      </c>
      <c r="D94" s="24" t="s">
        <v>235</v>
      </c>
      <c r="E94" s="37"/>
      <c r="F94" s="42">
        <f t="shared" si="13"/>
        <v>152</v>
      </c>
      <c r="G94" s="42">
        <f t="shared" si="13"/>
        <v>169</v>
      </c>
    </row>
    <row r="95" spans="1:7" s="39" customFormat="1" ht="15" x14ac:dyDescent="0.2">
      <c r="A95" s="84" t="s">
        <v>473</v>
      </c>
      <c r="B95" s="40" t="s">
        <v>576</v>
      </c>
      <c r="C95" s="30" t="s">
        <v>214</v>
      </c>
      <c r="D95" s="30" t="s">
        <v>235</v>
      </c>
      <c r="E95" s="31">
        <v>200</v>
      </c>
      <c r="F95" s="41">
        <f t="shared" si="13"/>
        <v>152</v>
      </c>
      <c r="G95" s="41">
        <f t="shared" si="13"/>
        <v>169</v>
      </c>
    </row>
    <row r="96" spans="1:7" s="39" customFormat="1" ht="15" x14ac:dyDescent="0.2">
      <c r="A96" s="84" t="s">
        <v>227</v>
      </c>
      <c r="B96" s="40" t="s">
        <v>576</v>
      </c>
      <c r="C96" s="30" t="s">
        <v>214</v>
      </c>
      <c r="D96" s="30" t="s">
        <v>235</v>
      </c>
      <c r="E96" s="31">
        <v>240</v>
      </c>
      <c r="F96" s="41">
        <v>152</v>
      </c>
      <c r="G96" s="41">
        <v>169</v>
      </c>
    </row>
    <row r="97" spans="1:7" s="39" customFormat="1" ht="15" x14ac:dyDescent="0.2">
      <c r="A97" s="75" t="s">
        <v>162</v>
      </c>
      <c r="B97" s="24" t="s">
        <v>191</v>
      </c>
      <c r="C97" s="24"/>
      <c r="D97" s="24"/>
      <c r="E97" s="37"/>
      <c r="F97" s="42">
        <f t="shared" ref="F97:G100" si="14">F98</f>
        <v>528</v>
      </c>
      <c r="G97" s="42">
        <f t="shared" si="14"/>
        <v>586</v>
      </c>
    </row>
    <row r="98" spans="1:7" s="39" customFormat="1" ht="15" x14ac:dyDescent="0.2">
      <c r="A98" s="74" t="s">
        <v>256</v>
      </c>
      <c r="B98" s="43" t="s">
        <v>191</v>
      </c>
      <c r="C98" s="24" t="s">
        <v>214</v>
      </c>
      <c r="D98" s="24"/>
      <c r="E98" s="37"/>
      <c r="F98" s="42">
        <f t="shared" si="14"/>
        <v>528</v>
      </c>
      <c r="G98" s="42">
        <f t="shared" si="14"/>
        <v>586</v>
      </c>
    </row>
    <row r="99" spans="1:7" s="39" customFormat="1" ht="15" x14ac:dyDescent="0.2">
      <c r="A99" s="74" t="s">
        <v>726</v>
      </c>
      <c r="B99" s="43" t="s">
        <v>191</v>
      </c>
      <c r="C99" s="24" t="s">
        <v>214</v>
      </c>
      <c r="D99" s="24" t="s">
        <v>235</v>
      </c>
      <c r="E99" s="37"/>
      <c r="F99" s="42">
        <f t="shared" si="14"/>
        <v>528</v>
      </c>
      <c r="G99" s="42">
        <f t="shared" si="14"/>
        <v>586</v>
      </c>
    </row>
    <row r="100" spans="1:7" s="39" customFormat="1" ht="15" x14ac:dyDescent="0.2">
      <c r="A100" s="84" t="s">
        <v>473</v>
      </c>
      <c r="B100" s="40" t="s">
        <v>191</v>
      </c>
      <c r="C100" s="30" t="s">
        <v>214</v>
      </c>
      <c r="D100" s="30" t="s">
        <v>235</v>
      </c>
      <c r="E100" s="31">
        <v>200</v>
      </c>
      <c r="F100" s="41">
        <f t="shared" si="14"/>
        <v>528</v>
      </c>
      <c r="G100" s="41">
        <f t="shared" si="14"/>
        <v>586</v>
      </c>
    </row>
    <row r="101" spans="1:7" s="39" customFormat="1" ht="15" x14ac:dyDescent="0.2">
      <c r="A101" s="84" t="s">
        <v>227</v>
      </c>
      <c r="B101" s="40" t="s">
        <v>191</v>
      </c>
      <c r="C101" s="30" t="s">
        <v>214</v>
      </c>
      <c r="D101" s="30" t="s">
        <v>235</v>
      </c>
      <c r="E101" s="31">
        <v>240</v>
      </c>
      <c r="F101" s="41">
        <v>528</v>
      </c>
      <c r="G101" s="41">
        <v>586</v>
      </c>
    </row>
    <row r="102" spans="1:7" s="39" customFormat="1" ht="15" x14ac:dyDescent="0.2">
      <c r="A102" s="75" t="s">
        <v>163</v>
      </c>
      <c r="B102" s="24" t="s">
        <v>192</v>
      </c>
      <c r="C102" s="24"/>
      <c r="D102" s="24"/>
      <c r="E102" s="37"/>
      <c r="F102" s="117">
        <f t="shared" ref="F102:G105" si="15">F103</f>
        <v>500</v>
      </c>
      <c r="G102" s="117">
        <f t="shared" si="15"/>
        <v>1000</v>
      </c>
    </row>
    <row r="103" spans="1:7" s="39" customFormat="1" ht="15" x14ac:dyDescent="0.2">
      <c r="A103" s="75" t="s">
        <v>256</v>
      </c>
      <c r="B103" s="43" t="s">
        <v>192</v>
      </c>
      <c r="C103" s="24" t="s">
        <v>214</v>
      </c>
      <c r="D103" s="24"/>
      <c r="E103" s="37"/>
      <c r="F103" s="117">
        <f t="shared" si="15"/>
        <v>500</v>
      </c>
      <c r="G103" s="117">
        <f t="shared" si="15"/>
        <v>1000</v>
      </c>
    </row>
    <row r="104" spans="1:7" s="39" customFormat="1" ht="15" x14ac:dyDescent="0.2">
      <c r="A104" s="75" t="s">
        <v>726</v>
      </c>
      <c r="B104" s="43" t="s">
        <v>192</v>
      </c>
      <c r="C104" s="24" t="s">
        <v>214</v>
      </c>
      <c r="D104" s="24" t="s">
        <v>235</v>
      </c>
      <c r="E104" s="37"/>
      <c r="F104" s="117">
        <f t="shared" si="15"/>
        <v>500</v>
      </c>
      <c r="G104" s="117">
        <f t="shared" si="15"/>
        <v>1000</v>
      </c>
    </row>
    <row r="105" spans="1:7" s="39" customFormat="1" ht="15" x14ac:dyDescent="0.2">
      <c r="A105" s="84" t="s">
        <v>473</v>
      </c>
      <c r="B105" s="40" t="s">
        <v>192</v>
      </c>
      <c r="C105" s="30" t="s">
        <v>214</v>
      </c>
      <c r="D105" s="30" t="s">
        <v>235</v>
      </c>
      <c r="E105" s="31">
        <v>200</v>
      </c>
      <c r="F105" s="118">
        <f t="shared" si="15"/>
        <v>500</v>
      </c>
      <c r="G105" s="118">
        <f t="shared" si="15"/>
        <v>1000</v>
      </c>
    </row>
    <row r="106" spans="1:7" s="39" customFormat="1" ht="15" x14ac:dyDescent="0.2">
      <c r="A106" s="84" t="s">
        <v>227</v>
      </c>
      <c r="B106" s="40" t="s">
        <v>192</v>
      </c>
      <c r="C106" s="30" t="s">
        <v>214</v>
      </c>
      <c r="D106" s="30" t="s">
        <v>235</v>
      </c>
      <c r="E106" s="31">
        <v>240</v>
      </c>
      <c r="F106" s="118">
        <v>500</v>
      </c>
      <c r="G106" s="118">
        <v>1000</v>
      </c>
    </row>
    <row r="107" spans="1:7" s="39" customFormat="1" ht="27" x14ac:dyDescent="0.2">
      <c r="A107" s="86" t="s">
        <v>781</v>
      </c>
      <c r="B107" s="93" t="s">
        <v>780</v>
      </c>
      <c r="C107" s="53"/>
      <c r="D107" s="53"/>
      <c r="E107" s="58"/>
      <c r="F107" s="121">
        <f>F108+F113</f>
        <v>25382</v>
      </c>
      <c r="G107" s="121">
        <f>G108+G113</f>
        <v>25382</v>
      </c>
    </row>
    <row r="108" spans="1:7" s="39" customFormat="1" ht="24" x14ac:dyDescent="0.2">
      <c r="A108" s="80" t="s">
        <v>784</v>
      </c>
      <c r="B108" s="43" t="s">
        <v>785</v>
      </c>
      <c r="C108" s="24"/>
      <c r="D108" s="24"/>
      <c r="E108" s="37"/>
      <c r="F108" s="117">
        <f t="shared" ref="F108:G111" si="16">F109</f>
        <v>7140</v>
      </c>
      <c r="G108" s="117">
        <f t="shared" si="16"/>
        <v>7140</v>
      </c>
    </row>
    <row r="109" spans="1:7" s="39" customFormat="1" ht="15" x14ac:dyDescent="0.2">
      <c r="A109" s="75" t="s">
        <v>256</v>
      </c>
      <c r="B109" s="43" t="s">
        <v>785</v>
      </c>
      <c r="C109" s="24" t="s">
        <v>214</v>
      </c>
      <c r="D109" s="24"/>
      <c r="E109" s="37"/>
      <c r="F109" s="117">
        <f t="shared" si="16"/>
        <v>7140</v>
      </c>
      <c r="G109" s="117">
        <f t="shared" si="16"/>
        <v>7140</v>
      </c>
    </row>
    <row r="110" spans="1:7" s="39" customFormat="1" ht="15" x14ac:dyDescent="0.2">
      <c r="A110" s="75" t="s">
        <v>726</v>
      </c>
      <c r="B110" s="43" t="s">
        <v>785</v>
      </c>
      <c r="C110" s="24" t="s">
        <v>214</v>
      </c>
      <c r="D110" s="24" t="s">
        <v>235</v>
      </c>
      <c r="E110" s="37"/>
      <c r="F110" s="117">
        <f t="shared" si="16"/>
        <v>7140</v>
      </c>
      <c r="G110" s="117">
        <f t="shared" si="16"/>
        <v>7140</v>
      </c>
    </row>
    <row r="111" spans="1:7" s="39" customFormat="1" ht="15" x14ac:dyDescent="0.2">
      <c r="A111" s="84" t="s">
        <v>473</v>
      </c>
      <c r="B111" s="40" t="s">
        <v>785</v>
      </c>
      <c r="C111" s="30" t="s">
        <v>214</v>
      </c>
      <c r="D111" s="30" t="s">
        <v>235</v>
      </c>
      <c r="E111" s="31">
        <v>200</v>
      </c>
      <c r="F111" s="118">
        <f t="shared" si="16"/>
        <v>7140</v>
      </c>
      <c r="G111" s="118">
        <f t="shared" si="16"/>
        <v>7140</v>
      </c>
    </row>
    <row r="112" spans="1:7" s="39" customFormat="1" ht="15" x14ac:dyDescent="0.2">
      <c r="A112" s="84" t="s">
        <v>227</v>
      </c>
      <c r="B112" s="40" t="s">
        <v>785</v>
      </c>
      <c r="C112" s="30" t="s">
        <v>214</v>
      </c>
      <c r="D112" s="30" t="s">
        <v>235</v>
      </c>
      <c r="E112" s="31">
        <v>240</v>
      </c>
      <c r="F112" s="118">
        <v>7140</v>
      </c>
      <c r="G112" s="118">
        <v>7140</v>
      </c>
    </row>
    <row r="113" spans="1:7" s="39" customFormat="1" ht="24" x14ac:dyDescent="0.2">
      <c r="A113" s="80" t="s">
        <v>786</v>
      </c>
      <c r="B113" s="43" t="s">
        <v>787</v>
      </c>
      <c r="C113" s="24"/>
      <c r="D113" s="24"/>
      <c r="E113" s="37"/>
      <c r="F113" s="42">
        <f t="shared" ref="F113:G116" si="17">F114</f>
        <v>18242</v>
      </c>
      <c r="G113" s="42">
        <f t="shared" si="17"/>
        <v>18242</v>
      </c>
    </row>
    <row r="114" spans="1:7" s="39" customFormat="1" ht="15" x14ac:dyDescent="0.2">
      <c r="A114" s="74" t="s">
        <v>256</v>
      </c>
      <c r="B114" s="24" t="s">
        <v>787</v>
      </c>
      <c r="C114" s="24" t="s">
        <v>214</v>
      </c>
      <c r="D114" s="24"/>
      <c r="E114" s="37"/>
      <c r="F114" s="42">
        <f t="shared" si="17"/>
        <v>18242</v>
      </c>
      <c r="G114" s="42">
        <f t="shared" si="17"/>
        <v>18242</v>
      </c>
    </row>
    <row r="115" spans="1:7" s="39" customFormat="1" ht="15" x14ac:dyDescent="0.2">
      <c r="A115" s="74" t="s">
        <v>726</v>
      </c>
      <c r="B115" s="24" t="s">
        <v>787</v>
      </c>
      <c r="C115" s="24" t="s">
        <v>214</v>
      </c>
      <c r="D115" s="24" t="s">
        <v>235</v>
      </c>
      <c r="E115" s="37"/>
      <c r="F115" s="42">
        <f t="shared" si="17"/>
        <v>18242</v>
      </c>
      <c r="G115" s="42">
        <f t="shared" si="17"/>
        <v>18242</v>
      </c>
    </row>
    <row r="116" spans="1:7" s="39" customFormat="1" ht="15" x14ac:dyDescent="0.2">
      <c r="A116" s="84" t="s">
        <v>473</v>
      </c>
      <c r="B116" s="40" t="s">
        <v>787</v>
      </c>
      <c r="C116" s="30" t="s">
        <v>214</v>
      </c>
      <c r="D116" s="30" t="s">
        <v>235</v>
      </c>
      <c r="E116" s="31">
        <v>200</v>
      </c>
      <c r="F116" s="41">
        <f t="shared" si="17"/>
        <v>18242</v>
      </c>
      <c r="G116" s="41">
        <f t="shared" si="17"/>
        <v>18242</v>
      </c>
    </row>
    <row r="117" spans="1:7" s="39" customFormat="1" ht="15" x14ac:dyDescent="0.2">
      <c r="A117" s="84" t="s">
        <v>227</v>
      </c>
      <c r="B117" s="40" t="s">
        <v>787</v>
      </c>
      <c r="C117" s="30" t="s">
        <v>214</v>
      </c>
      <c r="D117" s="30" t="s">
        <v>235</v>
      </c>
      <c r="E117" s="31">
        <v>240</v>
      </c>
      <c r="F117" s="41">
        <f>13100+1039+4103</f>
        <v>18242</v>
      </c>
      <c r="G117" s="41">
        <f>13100+1039+4103</f>
        <v>18242</v>
      </c>
    </row>
    <row r="118" spans="1:7" s="39" customFormat="1" ht="27" x14ac:dyDescent="0.2">
      <c r="A118" s="152" t="s">
        <v>547</v>
      </c>
      <c r="B118" s="157" t="s">
        <v>426</v>
      </c>
      <c r="C118" s="154"/>
      <c r="D118" s="154"/>
      <c r="E118" s="158"/>
      <c r="F118" s="156">
        <f t="shared" ref="F118:G122" si="18">F119</f>
        <v>1500</v>
      </c>
      <c r="G118" s="156">
        <f t="shared" si="18"/>
        <v>1500</v>
      </c>
    </row>
    <row r="119" spans="1:7" s="39" customFormat="1" ht="24" x14ac:dyDescent="0.2">
      <c r="A119" s="75" t="s">
        <v>172</v>
      </c>
      <c r="B119" s="43" t="s">
        <v>40</v>
      </c>
      <c r="C119" s="24"/>
      <c r="D119" s="24"/>
      <c r="E119" s="36"/>
      <c r="F119" s="42">
        <f t="shared" si="18"/>
        <v>1500</v>
      </c>
      <c r="G119" s="42">
        <f t="shared" si="18"/>
        <v>1500</v>
      </c>
    </row>
    <row r="120" spans="1:7" s="39" customFormat="1" ht="15" x14ac:dyDescent="0.2">
      <c r="A120" s="80" t="s">
        <v>700</v>
      </c>
      <c r="B120" s="24" t="s">
        <v>40</v>
      </c>
      <c r="C120" s="24" t="s">
        <v>107</v>
      </c>
      <c r="D120" s="24"/>
      <c r="E120" s="24"/>
      <c r="F120" s="42">
        <f t="shared" si="18"/>
        <v>1500</v>
      </c>
      <c r="G120" s="42">
        <f t="shared" si="18"/>
        <v>1500</v>
      </c>
    </row>
    <row r="121" spans="1:7" s="39" customFormat="1" ht="15" x14ac:dyDescent="0.2">
      <c r="A121" s="80" t="s">
        <v>687</v>
      </c>
      <c r="B121" s="24" t="s">
        <v>40</v>
      </c>
      <c r="C121" s="24" t="s">
        <v>107</v>
      </c>
      <c r="D121" s="24" t="s">
        <v>817</v>
      </c>
      <c r="E121" s="24"/>
      <c r="F121" s="42">
        <f t="shared" si="18"/>
        <v>1500</v>
      </c>
      <c r="G121" s="42">
        <f t="shared" si="18"/>
        <v>1500</v>
      </c>
    </row>
    <row r="122" spans="1:7" s="39" customFormat="1" ht="15" x14ac:dyDescent="0.2">
      <c r="A122" s="84" t="s">
        <v>237</v>
      </c>
      <c r="B122" s="40" t="s">
        <v>40</v>
      </c>
      <c r="C122" s="30" t="s">
        <v>107</v>
      </c>
      <c r="D122" s="30" t="s">
        <v>817</v>
      </c>
      <c r="E122" s="30" t="s">
        <v>236</v>
      </c>
      <c r="F122" s="41">
        <f t="shared" si="18"/>
        <v>1500</v>
      </c>
      <c r="G122" s="41">
        <f t="shared" si="18"/>
        <v>1500</v>
      </c>
    </row>
    <row r="123" spans="1:7" s="39" customFormat="1" ht="15" x14ac:dyDescent="0.2">
      <c r="A123" s="84" t="s">
        <v>314</v>
      </c>
      <c r="B123" s="40" t="s">
        <v>40</v>
      </c>
      <c r="C123" s="30" t="s">
        <v>107</v>
      </c>
      <c r="D123" s="30" t="s">
        <v>817</v>
      </c>
      <c r="E123" s="30" t="s">
        <v>110</v>
      </c>
      <c r="F123" s="41">
        <v>1500</v>
      </c>
      <c r="G123" s="41">
        <v>1500</v>
      </c>
    </row>
    <row r="124" spans="1:7" s="39" customFormat="1" ht="27" x14ac:dyDescent="0.2">
      <c r="A124" s="152" t="s">
        <v>48</v>
      </c>
      <c r="B124" s="154" t="s">
        <v>404</v>
      </c>
      <c r="C124" s="154"/>
      <c r="D124" s="154"/>
      <c r="E124" s="154"/>
      <c r="F124" s="156">
        <f>F125+F138+F149+F170</f>
        <v>264263.59999999998</v>
      </c>
      <c r="G124" s="156">
        <f>G125+G138+G149+G170</f>
        <v>145155.59999999998</v>
      </c>
    </row>
    <row r="125" spans="1:7" s="39" customFormat="1" ht="24" x14ac:dyDescent="0.2">
      <c r="A125" s="80" t="s">
        <v>241</v>
      </c>
      <c r="B125" s="24" t="s">
        <v>405</v>
      </c>
      <c r="C125" s="24"/>
      <c r="D125" s="24"/>
      <c r="E125" s="24"/>
      <c r="F125" s="42">
        <f>F126+F131</f>
        <v>5014.5</v>
      </c>
      <c r="G125" s="42">
        <f>G126+G131</f>
        <v>5014.5</v>
      </c>
    </row>
    <row r="126" spans="1:7" s="39" customFormat="1" ht="15" x14ac:dyDescent="0.2">
      <c r="A126" s="82" t="s">
        <v>475</v>
      </c>
      <c r="B126" s="24" t="s">
        <v>525</v>
      </c>
      <c r="C126" s="24"/>
      <c r="D126" s="24"/>
      <c r="E126" s="24"/>
      <c r="F126" s="42">
        <f t="shared" ref="F126:G128" si="19">F127</f>
        <v>4824.5</v>
      </c>
      <c r="G126" s="42">
        <f t="shared" si="19"/>
        <v>4824.5</v>
      </c>
    </row>
    <row r="127" spans="1:7" s="39" customFormat="1" ht="15" x14ac:dyDescent="0.2">
      <c r="A127" s="76" t="s">
        <v>655</v>
      </c>
      <c r="B127" s="24" t="s">
        <v>525</v>
      </c>
      <c r="C127" s="24" t="s">
        <v>216</v>
      </c>
      <c r="D127" s="24"/>
      <c r="E127" s="24"/>
      <c r="F127" s="42">
        <f t="shared" si="19"/>
        <v>4824.5</v>
      </c>
      <c r="G127" s="42">
        <f t="shared" si="19"/>
        <v>4824.5</v>
      </c>
    </row>
    <row r="128" spans="1:7" s="39" customFormat="1" ht="15" x14ac:dyDescent="0.2">
      <c r="A128" s="75" t="s">
        <v>666</v>
      </c>
      <c r="B128" s="24" t="s">
        <v>525</v>
      </c>
      <c r="C128" s="24" t="s">
        <v>216</v>
      </c>
      <c r="D128" s="24" t="s">
        <v>822</v>
      </c>
      <c r="E128" s="24"/>
      <c r="F128" s="42">
        <f t="shared" si="19"/>
        <v>4824.5</v>
      </c>
      <c r="G128" s="42">
        <f t="shared" si="19"/>
        <v>4824.5</v>
      </c>
    </row>
    <row r="129" spans="1:7" s="39" customFormat="1" ht="36" x14ac:dyDescent="0.2">
      <c r="A129" s="84" t="s">
        <v>217</v>
      </c>
      <c r="B129" s="30" t="s">
        <v>525</v>
      </c>
      <c r="C129" s="30" t="s">
        <v>216</v>
      </c>
      <c r="D129" s="30" t="s">
        <v>822</v>
      </c>
      <c r="E129" s="30" t="s">
        <v>218</v>
      </c>
      <c r="F129" s="41">
        <v>4824.5</v>
      </c>
      <c r="G129" s="41">
        <v>4824.5</v>
      </c>
    </row>
    <row r="130" spans="1:7" s="39" customFormat="1" ht="15" x14ac:dyDescent="0.2">
      <c r="A130" s="84" t="s">
        <v>219</v>
      </c>
      <c r="B130" s="30" t="s">
        <v>525</v>
      </c>
      <c r="C130" s="30" t="s">
        <v>216</v>
      </c>
      <c r="D130" s="30" t="s">
        <v>822</v>
      </c>
      <c r="E130" s="30" t="s">
        <v>224</v>
      </c>
      <c r="F130" s="41">
        <v>4824.5</v>
      </c>
      <c r="G130" s="41">
        <v>4824.5</v>
      </c>
    </row>
    <row r="131" spans="1:7" s="39" customFormat="1" ht="15" x14ac:dyDescent="0.2">
      <c r="A131" s="80" t="s">
        <v>225</v>
      </c>
      <c r="B131" s="24" t="s">
        <v>526</v>
      </c>
      <c r="C131" s="24"/>
      <c r="D131" s="24"/>
      <c r="E131" s="24"/>
      <c r="F131" s="42">
        <f>F132</f>
        <v>190</v>
      </c>
      <c r="G131" s="42">
        <f>G132</f>
        <v>190</v>
      </c>
    </row>
    <row r="132" spans="1:7" s="39" customFormat="1" ht="15" x14ac:dyDescent="0.2">
      <c r="A132" s="76" t="s">
        <v>655</v>
      </c>
      <c r="B132" s="24" t="s">
        <v>526</v>
      </c>
      <c r="C132" s="24" t="s">
        <v>216</v>
      </c>
      <c r="D132" s="24"/>
      <c r="E132" s="24"/>
      <c r="F132" s="42">
        <f>F133</f>
        <v>190</v>
      </c>
      <c r="G132" s="42">
        <f>G133</f>
        <v>190</v>
      </c>
    </row>
    <row r="133" spans="1:7" s="39" customFormat="1" ht="15" x14ac:dyDescent="0.2">
      <c r="A133" s="75" t="s">
        <v>666</v>
      </c>
      <c r="B133" s="24" t="s">
        <v>526</v>
      </c>
      <c r="C133" s="24" t="s">
        <v>216</v>
      </c>
      <c r="D133" s="24" t="s">
        <v>822</v>
      </c>
      <c r="E133" s="24"/>
      <c r="F133" s="42">
        <f>F134+F136</f>
        <v>190</v>
      </c>
      <c r="G133" s="42">
        <f>G134+G136</f>
        <v>190</v>
      </c>
    </row>
    <row r="134" spans="1:7" s="39" customFormat="1" ht="15" x14ac:dyDescent="0.2">
      <c r="A134" s="84" t="s">
        <v>473</v>
      </c>
      <c r="B134" s="30" t="s">
        <v>526</v>
      </c>
      <c r="C134" s="30" t="s">
        <v>216</v>
      </c>
      <c r="D134" s="30" t="s">
        <v>822</v>
      </c>
      <c r="E134" s="30" t="s">
        <v>226</v>
      </c>
      <c r="F134" s="41">
        <v>187</v>
      </c>
      <c r="G134" s="41">
        <v>187</v>
      </c>
    </row>
    <row r="135" spans="1:7" s="39" customFormat="1" ht="15" x14ac:dyDescent="0.2">
      <c r="A135" s="84" t="s">
        <v>227</v>
      </c>
      <c r="B135" s="30" t="s">
        <v>526</v>
      </c>
      <c r="C135" s="30" t="s">
        <v>216</v>
      </c>
      <c r="D135" s="30" t="s">
        <v>822</v>
      </c>
      <c r="E135" s="30" t="s">
        <v>228</v>
      </c>
      <c r="F135" s="41">
        <v>187</v>
      </c>
      <c r="G135" s="41">
        <v>187</v>
      </c>
    </row>
    <row r="136" spans="1:7" s="39" customFormat="1" ht="15" x14ac:dyDescent="0.2">
      <c r="A136" s="84" t="s">
        <v>229</v>
      </c>
      <c r="B136" s="30" t="s">
        <v>526</v>
      </c>
      <c r="C136" s="30" t="s">
        <v>216</v>
      </c>
      <c r="D136" s="30" t="s">
        <v>822</v>
      </c>
      <c r="E136" s="30" t="s">
        <v>230</v>
      </c>
      <c r="F136" s="41">
        <v>3</v>
      </c>
      <c r="G136" s="41">
        <v>3</v>
      </c>
    </row>
    <row r="137" spans="1:7" s="39" customFormat="1" ht="15" x14ac:dyDescent="0.2">
      <c r="A137" s="84" t="s">
        <v>311</v>
      </c>
      <c r="B137" s="30" t="s">
        <v>526</v>
      </c>
      <c r="C137" s="30" t="s">
        <v>216</v>
      </c>
      <c r="D137" s="30" t="s">
        <v>822</v>
      </c>
      <c r="E137" s="30" t="s">
        <v>231</v>
      </c>
      <c r="F137" s="41">
        <v>3</v>
      </c>
      <c r="G137" s="41">
        <v>3</v>
      </c>
    </row>
    <row r="138" spans="1:7" s="39" customFormat="1" ht="15" x14ac:dyDescent="0.2">
      <c r="A138" s="75" t="s">
        <v>527</v>
      </c>
      <c r="B138" s="43" t="s">
        <v>528</v>
      </c>
      <c r="C138" s="24"/>
      <c r="D138" s="24"/>
      <c r="E138" s="25"/>
      <c r="F138" s="42">
        <f>F139+F144</f>
        <v>60700</v>
      </c>
      <c r="G138" s="42">
        <f>G139+G144</f>
        <v>60700</v>
      </c>
    </row>
    <row r="139" spans="1:7" s="39" customFormat="1" ht="24" x14ac:dyDescent="0.2">
      <c r="A139" s="75" t="s">
        <v>529</v>
      </c>
      <c r="B139" s="43" t="s">
        <v>49</v>
      </c>
      <c r="C139" s="24"/>
      <c r="D139" s="24"/>
      <c r="E139" s="24"/>
      <c r="F139" s="42">
        <f t="shared" ref="F139:G142" si="20">F140</f>
        <v>60000</v>
      </c>
      <c r="G139" s="42">
        <f t="shared" si="20"/>
        <v>60000</v>
      </c>
    </row>
    <row r="140" spans="1:7" s="39" customFormat="1" ht="15" x14ac:dyDescent="0.2">
      <c r="A140" s="76" t="s">
        <v>655</v>
      </c>
      <c r="B140" s="43" t="s">
        <v>49</v>
      </c>
      <c r="C140" s="24" t="s">
        <v>216</v>
      </c>
      <c r="D140" s="24"/>
      <c r="E140" s="25"/>
      <c r="F140" s="42">
        <f t="shared" si="20"/>
        <v>60000</v>
      </c>
      <c r="G140" s="42">
        <f t="shared" si="20"/>
        <v>60000</v>
      </c>
    </row>
    <row r="141" spans="1:7" s="39" customFormat="1" ht="15" x14ac:dyDescent="0.2">
      <c r="A141" s="75" t="s">
        <v>666</v>
      </c>
      <c r="B141" s="43" t="s">
        <v>49</v>
      </c>
      <c r="C141" s="24" t="s">
        <v>216</v>
      </c>
      <c r="D141" s="24" t="s">
        <v>822</v>
      </c>
      <c r="E141" s="25"/>
      <c r="F141" s="42">
        <f t="shared" si="20"/>
        <v>60000</v>
      </c>
      <c r="G141" s="42">
        <f t="shared" si="20"/>
        <v>60000</v>
      </c>
    </row>
    <row r="142" spans="1:7" s="39" customFormat="1" ht="15" x14ac:dyDescent="0.2">
      <c r="A142" s="84" t="s">
        <v>229</v>
      </c>
      <c r="B142" s="40" t="s">
        <v>49</v>
      </c>
      <c r="C142" s="30" t="s">
        <v>216</v>
      </c>
      <c r="D142" s="30" t="s">
        <v>822</v>
      </c>
      <c r="E142" s="30" t="s">
        <v>230</v>
      </c>
      <c r="F142" s="41">
        <f t="shared" si="20"/>
        <v>60000</v>
      </c>
      <c r="G142" s="41">
        <f t="shared" si="20"/>
        <v>60000</v>
      </c>
    </row>
    <row r="143" spans="1:7" s="39" customFormat="1" ht="24" x14ac:dyDescent="0.2">
      <c r="A143" s="84" t="s">
        <v>105</v>
      </c>
      <c r="B143" s="40" t="s">
        <v>49</v>
      </c>
      <c r="C143" s="30" t="s">
        <v>216</v>
      </c>
      <c r="D143" s="30" t="s">
        <v>822</v>
      </c>
      <c r="E143" s="30" t="s">
        <v>729</v>
      </c>
      <c r="F143" s="41">
        <v>60000</v>
      </c>
      <c r="G143" s="41">
        <v>60000</v>
      </c>
    </row>
    <row r="144" spans="1:7" s="39" customFormat="1" ht="36" x14ac:dyDescent="0.2">
      <c r="A144" s="80" t="s">
        <v>150</v>
      </c>
      <c r="B144" s="43" t="s">
        <v>530</v>
      </c>
      <c r="C144" s="24"/>
      <c r="D144" s="24"/>
      <c r="E144" s="24"/>
      <c r="F144" s="42">
        <f t="shared" ref="F144:G147" si="21">F145</f>
        <v>700</v>
      </c>
      <c r="G144" s="42">
        <f t="shared" si="21"/>
        <v>700</v>
      </c>
    </row>
    <row r="145" spans="1:7" s="39" customFormat="1" ht="15" x14ac:dyDescent="0.2">
      <c r="A145" s="76" t="s">
        <v>655</v>
      </c>
      <c r="B145" s="43" t="s">
        <v>530</v>
      </c>
      <c r="C145" s="24" t="s">
        <v>216</v>
      </c>
      <c r="D145" s="24"/>
      <c r="E145" s="25"/>
      <c r="F145" s="42">
        <f t="shared" si="21"/>
        <v>700</v>
      </c>
      <c r="G145" s="42">
        <f t="shared" si="21"/>
        <v>700</v>
      </c>
    </row>
    <row r="146" spans="1:7" s="39" customFormat="1" ht="15" x14ac:dyDescent="0.2">
      <c r="A146" s="75" t="s">
        <v>666</v>
      </c>
      <c r="B146" s="43" t="s">
        <v>530</v>
      </c>
      <c r="C146" s="24" t="s">
        <v>216</v>
      </c>
      <c r="D146" s="24" t="s">
        <v>822</v>
      </c>
      <c r="E146" s="25"/>
      <c r="F146" s="42">
        <f t="shared" si="21"/>
        <v>700</v>
      </c>
      <c r="G146" s="42">
        <f t="shared" si="21"/>
        <v>700</v>
      </c>
    </row>
    <row r="147" spans="1:7" s="39" customFormat="1" ht="15" x14ac:dyDescent="0.2">
      <c r="A147" s="84" t="s">
        <v>322</v>
      </c>
      <c r="B147" s="40" t="s">
        <v>530</v>
      </c>
      <c r="C147" s="30" t="s">
        <v>216</v>
      </c>
      <c r="D147" s="30" t="s">
        <v>822</v>
      </c>
      <c r="E147" s="30" t="s">
        <v>226</v>
      </c>
      <c r="F147" s="41">
        <f t="shared" si="21"/>
        <v>700</v>
      </c>
      <c r="G147" s="41">
        <f t="shared" si="21"/>
        <v>700</v>
      </c>
    </row>
    <row r="148" spans="1:7" s="39" customFormat="1" ht="15" x14ac:dyDescent="0.2">
      <c r="A148" s="84" t="s">
        <v>227</v>
      </c>
      <c r="B148" s="40" t="s">
        <v>530</v>
      </c>
      <c r="C148" s="30" t="s">
        <v>216</v>
      </c>
      <c r="D148" s="30" t="s">
        <v>822</v>
      </c>
      <c r="E148" s="30" t="s">
        <v>228</v>
      </c>
      <c r="F148" s="41">
        <v>700</v>
      </c>
      <c r="G148" s="41">
        <v>700</v>
      </c>
    </row>
    <row r="149" spans="1:7" s="39" customFormat="1" ht="24" x14ac:dyDescent="0.2">
      <c r="A149" s="75" t="s">
        <v>531</v>
      </c>
      <c r="B149" s="43" t="s">
        <v>532</v>
      </c>
      <c r="C149" s="24"/>
      <c r="D149" s="24"/>
      <c r="E149" s="24"/>
      <c r="F149" s="42">
        <f>F150+F155+F160+F165</f>
        <v>181910.8</v>
      </c>
      <c r="G149" s="42">
        <f>G150+G155+G160+G165</f>
        <v>62802.799999999996</v>
      </c>
    </row>
    <row r="150" spans="1:7" s="39" customFormat="1" ht="24" x14ac:dyDescent="0.2">
      <c r="A150" s="80" t="s">
        <v>407</v>
      </c>
      <c r="B150" s="24" t="s">
        <v>50</v>
      </c>
      <c r="C150" s="30"/>
      <c r="D150" s="30"/>
      <c r="E150" s="24"/>
      <c r="F150" s="42">
        <f t="shared" ref="F150:G153" si="22">F151</f>
        <v>19534</v>
      </c>
      <c r="G150" s="42">
        <f t="shared" si="22"/>
        <v>20992</v>
      </c>
    </row>
    <row r="151" spans="1:7" s="39" customFormat="1" ht="15" x14ac:dyDescent="0.2">
      <c r="A151" s="61" t="s">
        <v>655</v>
      </c>
      <c r="B151" s="24" t="s">
        <v>50</v>
      </c>
      <c r="C151" s="24" t="s">
        <v>216</v>
      </c>
      <c r="D151" s="24"/>
      <c r="E151" s="24"/>
      <c r="F151" s="42">
        <f t="shared" si="22"/>
        <v>19534</v>
      </c>
      <c r="G151" s="42">
        <f t="shared" si="22"/>
        <v>20992</v>
      </c>
    </row>
    <row r="152" spans="1:7" s="39" customFormat="1" ht="15" x14ac:dyDescent="0.2">
      <c r="A152" s="61" t="s">
        <v>690</v>
      </c>
      <c r="B152" s="24" t="s">
        <v>50</v>
      </c>
      <c r="C152" s="24" t="s">
        <v>216</v>
      </c>
      <c r="D152" s="24" t="s">
        <v>818</v>
      </c>
      <c r="E152" s="24"/>
      <c r="F152" s="42">
        <f t="shared" si="22"/>
        <v>19534</v>
      </c>
      <c r="G152" s="42">
        <f t="shared" si="22"/>
        <v>20992</v>
      </c>
    </row>
    <row r="153" spans="1:7" s="39" customFormat="1" ht="15" x14ac:dyDescent="0.2">
      <c r="A153" s="84" t="s">
        <v>473</v>
      </c>
      <c r="B153" s="30" t="s">
        <v>50</v>
      </c>
      <c r="C153" s="30" t="s">
        <v>216</v>
      </c>
      <c r="D153" s="30" t="s">
        <v>818</v>
      </c>
      <c r="E153" s="30" t="s">
        <v>226</v>
      </c>
      <c r="F153" s="41">
        <f t="shared" si="22"/>
        <v>19534</v>
      </c>
      <c r="G153" s="41">
        <f t="shared" si="22"/>
        <v>20992</v>
      </c>
    </row>
    <row r="154" spans="1:7" s="39" customFormat="1" ht="15" x14ac:dyDescent="0.2">
      <c r="A154" s="84" t="s">
        <v>227</v>
      </c>
      <c r="B154" s="30" t="s">
        <v>50</v>
      </c>
      <c r="C154" s="30" t="s">
        <v>216</v>
      </c>
      <c r="D154" s="30" t="s">
        <v>818</v>
      </c>
      <c r="E154" s="30" t="s">
        <v>228</v>
      </c>
      <c r="F154" s="41">
        <v>19534</v>
      </c>
      <c r="G154" s="41">
        <v>20992</v>
      </c>
    </row>
    <row r="155" spans="1:7" s="39" customFormat="1" ht="24" x14ac:dyDescent="0.2">
      <c r="A155" s="80" t="s">
        <v>170</v>
      </c>
      <c r="B155" s="24" t="s">
        <v>165</v>
      </c>
      <c r="C155" s="24"/>
      <c r="D155" s="24"/>
      <c r="E155" s="24"/>
      <c r="F155" s="117">
        <f t="shared" ref="F155:G158" si="23">F156</f>
        <v>151753.79999999999</v>
      </c>
      <c r="G155" s="117">
        <f t="shared" si="23"/>
        <v>39075.599999999999</v>
      </c>
    </row>
    <row r="156" spans="1:7" s="39" customFormat="1" ht="15" x14ac:dyDescent="0.2">
      <c r="A156" s="61" t="s">
        <v>655</v>
      </c>
      <c r="B156" s="24" t="s">
        <v>165</v>
      </c>
      <c r="C156" s="24" t="s">
        <v>216</v>
      </c>
      <c r="D156" s="24"/>
      <c r="E156" s="25"/>
      <c r="F156" s="117">
        <f t="shared" si="23"/>
        <v>151753.79999999999</v>
      </c>
      <c r="G156" s="117">
        <f t="shared" si="23"/>
        <v>39075.599999999999</v>
      </c>
    </row>
    <row r="157" spans="1:7" s="39" customFormat="1" ht="15" x14ac:dyDescent="0.2">
      <c r="A157" s="61" t="s">
        <v>690</v>
      </c>
      <c r="B157" s="24" t="s">
        <v>165</v>
      </c>
      <c r="C157" s="24" t="s">
        <v>216</v>
      </c>
      <c r="D157" s="24" t="s">
        <v>818</v>
      </c>
      <c r="E157" s="25"/>
      <c r="F157" s="117">
        <f t="shared" si="23"/>
        <v>151753.79999999999</v>
      </c>
      <c r="G157" s="117">
        <f t="shared" si="23"/>
        <v>39075.599999999999</v>
      </c>
    </row>
    <row r="158" spans="1:7" s="39" customFormat="1" ht="15" x14ac:dyDescent="0.2">
      <c r="A158" s="84" t="s">
        <v>322</v>
      </c>
      <c r="B158" s="30" t="s">
        <v>165</v>
      </c>
      <c r="C158" s="30" t="s">
        <v>216</v>
      </c>
      <c r="D158" s="30" t="s">
        <v>818</v>
      </c>
      <c r="E158" s="30" t="s">
        <v>226</v>
      </c>
      <c r="F158" s="118">
        <f t="shared" si="23"/>
        <v>151753.79999999999</v>
      </c>
      <c r="G158" s="118">
        <f t="shared" si="23"/>
        <v>39075.599999999999</v>
      </c>
    </row>
    <row r="159" spans="1:7" s="39" customFormat="1" ht="15" x14ac:dyDescent="0.2">
      <c r="A159" s="84" t="s">
        <v>227</v>
      </c>
      <c r="B159" s="30" t="s">
        <v>165</v>
      </c>
      <c r="C159" s="30" t="s">
        <v>216</v>
      </c>
      <c r="D159" s="30" t="s">
        <v>818</v>
      </c>
      <c r="E159" s="30" t="s">
        <v>228</v>
      </c>
      <c r="F159" s="118">
        <v>151753.79999999999</v>
      </c>
      <c r="G159" s="118">
        <v>39075.599999999999</v>
      </c>
    </row>
    <row r="160" spans="1:7" s="39" customFormat="1" ht="24" x14ac:dyDescent="0.2">
      <c r="A160" s="80" t="s">
        <v>408</v>
      </c>
      <c r="B160" s="24" t="s">
        <v>166</v>
      </c>
      <c r="C160" s="24"/>
      <c r="D160" s="24"/>
      <c r="E160" s="24"/>
      <c r="F160" s="42">
        <f t="shared" ref="F160:G163" si="24">F161</f>
        <v>10623</v>
      </c>
      <c r="G160" s="42">
        <f t="shared" si="24"/>
        <v>2735.2</v>
      </c>
    </row>
    <row r="161" spans="1:7" s="39" customFormat="1" ht="15" x14ac:dyDescent="0.2">
      <c r="A161" s="61" t="s">
        <v>655</v>
      </c>
      <c r="B161" s="24" t="s">
        <v>166</v>
      </c>
      <c r="C161" s="24" t="s">
        <v>216</v>
      </c>
      <c r="D161" s="24"/>
      <c r="E161" s="25"/>
      <c r="F161" s="42">
        <f t="shared" si="24"/>
        <v>10623</v>
      </c>
      <c r="G161" s="42">
        <f t="shared" si="24"/>
        <v>2735.2</v>
      </c>
    </row>
    <row r="162" spans="1:7" s="39" customFormat="1" ht="15" x14ac:dyDescent="0.2">
      <c r="A162" s="61" t="s">
        <v>690</v>
      </c>
      <c r="B162" s="24" t="s">
        <v>166</v>
      </c>
      <c r="C162" s="24" t="s">
        <v>216</v>
      </c>
      <c r="D162" s="24" t="s">
        <v>818</v>
      </c>
      <c r="E162" s="25"/>
      <c r="F162" s="42">
        <f t="shared" si="24"/>
        <v>10623</v>
      </c>
      <c r="G162" s="42">
        <f t="shared" si="24"/>
        <v>2735.2</v>
      </c>
    </row>
    <row r="163" spans="1:7" s="39" customFormat="1" ht="15" x14ac:dyDescent="0.2">
      <c r="A163" s="84" t="s">
        <v>473</v>
      </c>
      <c r="B163" s="30" t="s">
        <v>166</v>
      </c>
      <c r="C163" s="30" t="s">
        <v>216</v>
      </c>
      <c r="D163" s="30" t="s">
        <v>818</v>
      </c>
      <c r="E163" s="30" t="s">
        <v>226</v>
      </c>
      <c r="F163" s="41">
        <f t="shared" si="24"/>
        <v>10623</v>
      </c>
      <c r="G163" s="41">
        <f t="shared" si="24"/>
        <v>2735.2</v>
      </c>
    </row>
    <row r="164" spans="1:7" s="39" customFormat="1" ht="15" x14ac:dyDescent="0.2">
      <c r="A164" s="84" t="s">
        <v>227</v>
      </c>
      <c r="B164" s="30" t="s">
        <v>166</v>
      </c>
      <c r="C164" s="30" t="s">
        <v>216</v>
      </c>
      <c r="D164" s="30" t="s">
        <v>818</v>
      </c>
      <c r="E164" s="30" t="s">
        <v>228</v>
      </c>
      <c r="F164" s="41">
        <v>10623</v>
      </c>
      <c r="G164" s="41">
        <v>2735.2</v>
      </c>
    </row>
    <row r="165" spans="1:7" s="39" customFormat="1" ht="15" x14ac:dyDescent="0.2">
      <c r="A165" s="80" t="s">
        <v>580</v>
      </c>
      <c r="B165" s="24" t="s">
        <v>581</v>
      </c>
      <c r="C165" s="30"/>
      <c r="D165" s="30"/>
      <c r="E165" s="30"/>
      <c r="F165" s="117">
        <f t="shared" ref="F165:G168" si="25">F166</f>
        <v>0</v>
      </c>
      <c r="G165" s="117">
        <f t="shared" si="25"/>
        <v>0</v>
      </c>
    </row>
    <row r="166" spans="1:7" s="39" customFormat="1" ht="15" x14ac:dyDescent="0.2">
      <c r="A166" s="61" t="s">
        <v>655</v>
      </c>
      <c r="B166" s="24" t="s">
        <v>581</v>
      </c>
      <c r="C166" s="24" t="s">
        <v>216</v>
      </c>
      <c r="D166" s="24"/>
      <c r="E166" s="25"/>
      <c r="F166" s="117">
        <f t="shared" si="25"/>
        <v>0</v>
      </c>
      <c r="G166" s="117">
        <f t="shared" si="25"/>
        <v>0</v>
      </c>
    </row>
    <row r="167" spans="1:7" s="39" customFormat="1" ht="15" x14ac:dyDescent="0.2">
      <c r="A167" s="61" t="s">
        <v>690</v>
      </c>
      <c r="B167" s="24" t="s">
        <v>581</v>
      </c>
      <c r="C167" s="24" t="s">
        <v>216</v>
      </c>
      <c r="D167" s="24" t="s">
        <v>818</v>
      </c>
      <c r="E167" s="25"/>
      <c r="F167" s="117">
        <f t="shared" si="25"/>
        <v>0</v>
      </c>
      <c r="G167" s="117">
        <f t="shared" si="25"/>
        <v>0</v>
      </c>
    </row>
    <row r="168" spans="1:7" s="39" customFormat="1" ht="15" x14ac:dyDescent="0.2">
      <c r="A168" s="84" t="s">
        <v>473</v>
      </c>
      <c r="B168" s="30" t="s">
        <v>581</v>
      </c>
      <c r="C168" s="30" t="s">
        <v>216</v>
      </c>
      <c r="D168" s="30" t="s">
        <v>818</v>
      </c>
      <c r="E168" s="30" t="s">
        <v>226</v>
      </c>
      <c r="F168" s="118">
        <f t="shared" si="25"/>
        <v>0</v>
      </c>
      <c r="G168" s="118">
        <f t="shared" si="25"/>
        <v>0</v>
      </c>
    </row>
    <row r="169" spans="1:7" s="39" customFormat="1" ht="15" x14ac:dyDescent="0.2">
      <c r="A169" s="84" t="s">
        <v>227</v>
      </c>
      <c r="B169" s="30" t="s">
        <v>581</v>
      </c>
      <c r="C169" s="30" t="s">
        <v>216</v>
      </c>
      <c r="D169" s="30" t="s">
        <v>818</v>
      </c>
      <c r="E169" s="30" t="s">
        <v>228</v>
      </c>
      <c r="F169" s="118">
        <f>10000-10000</f>
        <v>0</v>
      </c>
      <c r="G169" s="118">
        <v>0</v>
      </c>
    </row>
    <row r="170" spans="1:7" s="39" customFormat="1" ht="15" x14ac:dyDescent="0.2">
      <c r="A170" s="80" t="s">
        <v>763</v>
      </c>
      <c r="B170" s="24" t="s">
        <v>524</v>
      </c>
      <c r="C170" s="24"/>
      <c r="D170" s="24"/>
      <c r="E170" s="24"/>
      <c r="F170" s="42">
        <f>F171+F181</f>
        <v>16638.3</v>
      </c>
      <c r="G170" s="42">
        <f>G171+G181</f>
        <v>16638.3</v>
      </c>
    </row>
    <row r="171" spans="1:7" s="39" customFormat="1" ht="15" x14ac:dyDescent="0.2">
      <c r="A171" s="105" t="s">
        <v>533</v>
      </c>
      <c r="B171" s="55" t="s">
        <v>53</v>
      </c>
      <c r="C171" s="33"/>
      <c r="D171" s="33"/>
      <c r="E171" s="33"/>
      <c r="F171" s="101">
        <f t="shared" ref="F171:G173" si="26">F172</f>
        <v>4182.3</v>
      </c>
      <c r="G171" s="101">
        <f t="shared" si="26"/>
        <v>4182.3</v>
      </c>
    </row>
    <row r="172" spans="1:7" s="39" customFormat="1" ht="15" x14ac:dyDescent="0.2">
      <c r="A172" s="80" t="s">
        <v>819</v>
      </c>
      <c r="B172" s="24" t="s">
        <v>53</v>
      </c>
      <c r="C172" s="24"/>
      <c r="D172" s="24"/>
      <c r="E172" s="24"/>
      <c r="F172" s="42">
        <f t="shared" si="26"/>
        <v>4182.3</v>
      </c>
      <c r="G172" s="42">
        <f t="shared" si="26"/>
        <v>4182.3</v>
      </c>
    </row>
    <row r="173" spans="1:7" s="39" customFormat="1" ht="15" x14ac:dyDescent="0.2">
      <c r="A173" s="61" t="s">
        <v>655</v>
      </c>
      <c r="B173" s="24" t="s">
        <v>53</v>
      </c>
      <c r="C173" s="24" t="s">
        <v>216</v>
      </c>
      <c r="D173" s="24"/>
      <c r="E173" s="25"/>
      <c r="F173" s="42">
        <f t="shared" si="26"/>
        <v>4182.3</v>
      </c>
      <c r="G173" s="42">
        <f t="shared" si="26"/>
        <v>4182.3</v>
      </c>
    </row>
    <row r="174" spans="1:7" s="39" customFormat="1" ht="15" x14ac:dyDescent="0.2">
      <c r="A174" s="61" t="s">
        <v>690</v>
      </c>
      <c r="B174" s="24" t="s">
        <v>53</v>
      </c>
      <c r="C174" s="24" t="s">
        <v>216</v>
      </c>
      <c r="D174" s="24" t="s">
        <v>818</v>
      </c>
      <c r="E174" s="25"/>
      <c r="F174" s="42">
        <f>F175+F177+F179</f>
        <v>4182.3</v>
      </c>
      <c r="G174" s="42">
        <f>G175+G177+G179</f>
        <v>4182.3</v>
      </c>
    </row>
    <row r="175" spans="1:7" s="39" customFormat="1" ht="36" x14ac:dyDescent="0.2">
      <c r="A175" s="84" t="s">
        <v>217</v>
      </c>
      <c r="B175" s="30" t="s">
        <v>53</v>
      </c>
      <c r="C175" s="30" t="s">
        <v>216</v>
      </c>
      <c r="D175" s="30" t="s">
        <v>818</v>
      </c>
      <c r="E175" s="30" t="s">
        <v>218</v>
      </c>
      <c r="F175" s="41">
        <f>F176</f>
        <v>3728.3</v>
      </c>
      <c r="G175" s="41">
        <f>G176</f>
        <v>3728.3</v>
      </c>
    </row>
    <row r="176" spans="1:7" s="39" customFormat="1" ht="15" x14ac:dyDescent="0.2">
      <c r="A176" s="84" t="s">
        <v>820</v>
      </c>
      <c r="B176" s="30" t="s">
        <v>53</v>
      </c>
      <c r="C176" s="30" t="s">
        <v>216</v>
      </c>
      <c r="D176" s="30" t="s">
        <v>818</v>
      </c>
      <c r="E176" s="30" t="s">
        <v>821</v>
      </c>
      <c r="F176" s="41">
        <v>3728.3</v>
      </c>
      <c r="G176" s="41">
        <v>3728.3</v>
      </c>
    </row>
    <row r="177" spans="1:7" s="39" customFormat="1" ht="15" x14ac:dyDescent="0.2">
      <c r="A177" s="84" t="s">
        <v>473</v>
      </c>
      <c r="B177" s="30" t="s">
        <v>53</v>
      </c>
      <c r="C177" s="30" t="s">
        <v>216</v>
      </c>
      <c r="D177" s="30" t="s">
        <v>818</v>
      </c>
      <c r="E177" s="30" t="s">
        <v>226</v>
      </c>
      <c r="F177" s="41">
        <f>F178</f>
        <v>419</v>
      </c>
      <c r="G177" s="41">
        <f>G178</f>
        <v>419</v>
      </c>
    </row>
    <row r="178" spans="1:7" s="39" customFormat="1" ht="15" x14ac:dyDescent="0.2">
      <c r="A178" s="84" t="s">
        <v>227</v>
      </c>
      <c r="B178" s="30" t="s">
        <v>53</v>
      </c>
      <c r="C178" s="30" t="s">
        <v>216</v>
      </c>
      <c r="D178" s="30" t="s">
        <v>818</v>
      </c>
      <c r="E178" s="30" t="s">
        <v>228</v>
      </c>
      <c r="F178" s="41">
        <v>419</v>
      </c>
      <c r="G178" s="41">
        <v>419</v>
      </c>
    </row>
    <row r="179" spans="1:7" s="39" customFormat="1" ht="15" x14ac:dyDescent="0.2">
      <c r="A179" s="84" t="s">
        <v>229</v>
      </c>
      <c r="B179" s="30" t="s">
        <v>53</v>
      </c>
      <c r="C179" s="30" t="s">
        <v>216</v>
      </c>
      <c r="D179" s="30" t="s">
        <v>818</v>
      </c>
      <c r="E179" s="30" t="s">
        <v>230</v>
      </c>
      <c r="F179" s="41">
        <f>F180</f>
        <v>35</v>
      </c>
      <c r="G179" s="41">
        <f>G180</f>
        <v>35</v>
      </c>
    </row>
    <row r="180" spans="1:7" s="39" customFormat="1" ht="15" x14ac:dyDescent="0.2">
      <c r="A180" s="84" t="s">
        <v>311</v>
      </c>
      <c r="B180" s="30" t="s">
        <v>53</v>
      </c>
      <c r="C180" s="30" t="s">
        <v>216</v>
      </c>
      <c r="D180" s="30" t="s">
        <v>818</v>
      </c>
      <c r="E180" s="30" t="s">
        <v>231</v>
      </c>
      <c r="F180" s="41">
        <v>35</v>
      </c>
      <c r="G180" s="41">
        <v>35</v>
      </c>
    </row>
    <row r="181" spans="1:7" s="39" customFormat="1" ht="15" x14ac:dyDescent="0.2">
      <c r="A181" s="75" t="s">
        <v>534</v>
      </c>
      <c r="B181" s="43" t="s">
        <v>54</v>
      </c>
      <c r="C181" s="24"/>
      <c r="D181" s="24"/>
      <c r="E181" s="24"/>
      <c r="F181" s="42">
        <f t="shared" ref="F181:G184" si="27">F182</f>
        <v>12456</v>
      </c>
      <c r="G181" s="42">
        <f t="shared" si="27"/>
        <v>12456</v>
      </c>
    </row>
    <row r="182" spans="1:7" s="39" customFormat="1" ht="15" x14ac:dyDescent="0.2">
      <c r="A182" s="61" t="s">
        <v>655</v>
      </c>
      <c r="B182" s="43" t="s">
        <v>54</v>
      </c>
      <c r="C182" s="24" t="s">
        <v>216</v>
      </c>
      <c r="D182" s="24"/>
      <c r="E182" s="24"/>
      <c r="F182" s="42">
        <f t="shared" si="27"/>
        <v>12456</v>
      </c>
      <c r="G182" s="42">
        <f t="shared" si="27"/>
        <v>12456</v>
      </c>
    </row>
    <row r="183" spans="1:7" s="39" customFormat="1" ht="15" x14ac:dyDescent="0.2">
      <c r="A183" s="61" t="s">
        <v>690</v>
      </c>
      <c r="B183" s="43" t="s">
        <v>54</v>
      </c>
      <c r="C183" s="24" t="s">
        <v>216</v>
      </c>
      <c r="D183" s="24" t="s">
        <v>818</v>
      </c>
      <c r="E183" s="24"/>
      <c r="F183" s="42">
        <f t="shared" si="27"/>
        <v>12456</v>
      </c>
      <c r="G183" s="42">
        <f t="shared" si="27"/>
        <v>12456</v>
      </c>
    </row>
    <row r="184" spans="1:7" s="39" customFormat="1" ht="24" x14ac:dyDescent="0.2">
      <c r="A184" s="84" t="s">
        <v>246</v>
      </c>
      <c r="B184" s="30" t="s">
        <v>54</v>
      </c>
      <c r="C184" s="30" t="s">
        <v>216</v>
      </c>
      <c r="D184" s="30" t="s">
        <v>818</v>
      </c>
      <c r="E184" s="30" t="s">
        <v>702</v>
      </c>
      <c r="F184" s="41">
        <f t="shared" si="27"/>
        <v>12456</v>
      </c>
      <c r="G184" s="41">
        <f t="shared" si="27"/>
        <v>12456</v>
      </c>
    </row>
    <row r="185" spans="1:7" s="39" customFormat="1" ht="15" x14ac:dyDescent="0.2">
      <c r="A185" s="84" t="s">
        <v>247</v>
      </c>
      <c r="B185" s="30" t="s">
        <v>54</v>
      </c>
      <c r="C185" s="30" t="s">
        <v>216</v>
      </c>
      <c r="D185" s="30" t="s">
        <v>818</v>
      </c>
      <c r="E185" s="30" t="s">
        <v>724</v>
      </c>
      <c r="F185" s="41">
        <v>12456</v>
      </c>
      <c r="G185" s="41">
        <v>12456</v>
      </c>
    </row>
    <row r="186" spans="1:7" s="39" customFormat="1" ht="27" x14ac:dyDescent="0.2">
      <c r="A186" s="152" t="s">
        <v>439</v>
      </c>
      <c r="B186" s="157" t="s">
        <v>425</v>
      </c>
      <c r="C186" s="154"/>
      <c r="D186" s="154"/>
      <c r="E186" s="154"/>
      <c r="F186" s="156">
        <f>F187+F201+F206+F211+F216+F221+F226+F231+F236+F245+F250</f>
        <v>279981.40000000002</v>
      </c>
      <c r="G186" s="156">
        <f>G187+G201+G206+G211+G216+G221+G226+G231+G236+G245+G250</f>
        <v>278946</v>
      </c>
    </row>
    <row r="187" spans="1:7" s="39" customFormat="1" ht="24" x14ac:dyDescent="0.2">
      <c r="A187" s="82" t="s">
        <v>540</v>
      </c>
      <c r="B187" s="24" t="s">
        <v>425</v>
      </c>
      <c r="C187" s="24"/>
      <c r="D187" s="24"/>
      <c r="E187" s="24"/>
      <c r="F187" s="42">
        <f>F188</f>
        <v>6346</v>
      </c>
      <c r="G187" s="42">
        <f>G188</f>
        <v>6346</v>
      </c>
    </row>
    <row r="188" spans="1:7" s="39" customFormat="1" ht="24" x14ac:dyDescent="0.2">
      <c r="A188" s="83" t="s">
        <v>704</v>
      </c>
      <c r="B188" s="25" t="s">
        <v>425</v>
      </c>
      <c r="C188" s="25"/>
      <c r="D188" s="25"/>
      <c r="E188" s="25"/>
      <c r="F188" s="45">
        <f>F189+F194</f>
        <v>6346</v>
      </c>
      <c r="G188" s="45">
        <f>G189+G194</f>
        <v>6346</v>
      </c>
    </row>
    <row r="189" spans="1:7" s="39" customFormat="1" ht="15" x14ac:dyDescent="0.2">
      <c r="A189" s="82" t="s">
        <v>685</v>
      </c>
      <c r="B189" s="24" t="s">
        <v>541</v>
      </c>
      <c r="C189" s="24"/>
      <c r="D189" s="24"/>
      <c r="E189" s="24"/>
      <c r="F189" s="42">
        <f t="shared" ref="F189:G192" si="28">F190</f>
        <v>6153</v>
      </c>
      <c r="G189" s="42">
        <f t="shared" si="28"/>
        <v>6153</v>
      </c>
    </row>
    <row r="190" spans="1:7" s="39" customFormat="1" ht="15" x14ac:dyDescent="0.2">
      <c r="A190" s="80" t="s">
        <v>667</v>
      </c>
      <c r="B190" s="24" t="s">
        <v>541</v>
      </c>
      <c r="C190" s="24" t="s">
        <v>731</v>
      </c>
      <c r="D190" s="24"/>
      <c r="E190" s="24"/>
      <c r="F190" s="42">
        <f t="shared" si="28"/>
        <v>6153</v>
      </c>
      <c r="G190" s="42">
        <f t="shared" si="28"/>
        <v>6153</v>
      </c>
    </row>
    <row r="191" spans="1:7" s="39" customFormat="1" ht="15" x14ac:dyDescent="0.2">
      <c r="A191" s="80" t="s">
        <v>672</v>
      </c>
      <c r="B191" s="24" t="s">
        <v>541</v>
      </c>
      <c r="C191" s="24" t="s">
        <v>731</v>
      </c>
      <c r="D191" s="24" t="s">
        <v>731</v>
      </c>
      <c r="E191" s="24"/>
      <c r="F191" s="42">
        <f t="shared" si="28"/>
        <v>6153</v>
      </c>
      <c r="G191" s="42">
        <f t="shared" si="28"/>
        <v>6153</v>
      </c>
    </row>
    <row r="192" spans="1:7" s="39" customFormat="1" ht="36" x14ac:dyDescent="0.2">
      <c r="A192" s="84" t="s">
        <v>217</v>
      </c>
      <c r="B192" s="30" t="s">
        <v>541</v>
      </c>
      <c r="C192" s="30" t="s">
        <v>731</v>
      </c>
      <c r="D192" s="30" t="s">
        <v>731</v>
      </c>
      <c r="E192" s="30" t="s">
        <v>218</v>
      </c>
      <c r="F192" s="41">
        <f t="shared" si="28"/>
        <v>6153</v>
      </c>
      <c r="G192" s="41">
        <f t="shared" si="28"/>
        <v>6153</v>
      </c>
    </row>
    <row r="193" spans="1:7" s="39" customFormat="1" ht="15" x14ac:dyDescent="0.2">
      <c r="A193" s="84" t="s">
        <v>219</v>
      </c>
      <c r="B193" s="30" t="s">
        <v>541</v>
      </c>
      <c r="C193" s="30" t="s">
        <v>731</v>
      </c>
      <c r="D193" s="30" t="s">
        <v>731</v>
      </c>
      <c r="E193" s="30" t="s">
        <v>224</v>
      </c>
      <c r="F193" s="41">
        <v>6153</v>
      </c>
      <c r="G193" s="41">
        <v>6153</v>
      </c>
    </row>
    <row r="194" spans="1:7" s="39" customFormat="1" ht="15" x14ac:dyDescent="0.2">
      <c r="A194" s="80" t="s">
        <v>225</v>
      </c>
      <c r="B194" s="24" t="s">
        <v>542</v>
      </c>
      <c r="C194" s="24"/>
      <c r="D194" s="24"/>
      <c r="E194" s="24"/>
      <c r="F194" s="42">
        <f>F195</f>
        <v>193</v>
      </c>
      <c r="G194" s="42">
        <f>G195</f>
        <v>193</v>
      </c>
    </row>
    <row r="195" spans="1:7" s="39" customFormat="1" ht="15" x14ac:dyDescent="0.2">
      <c r="A195" s="80" t="s">
        <v>667</v>
      </c>
      <c r="B195" s="24" t="s">
        <v>542</v>
      </c>
      <c r="C195" s="24" t="s">
        <v>731</v>
      </c>
      <c r="D195" s="24"/>
      <c r="E195" s="24"/>
      <c r="F195" s="42">
        <f>F196</f>
        <v>193</v>
      </c>
      <c r="G195" s="42">
        <f>G196</f>
        <v>193</v>
      </c>
    </row>
    <row r="196" spans="1:7" s="39" customFormat="1" ht="15" x14ac:dyDescent="0.2">
      <c r="A196" s="80" t="s">
        <v>672</v>
      </c>
      <c r="B196" s="24" t="s">
        <v>542</v>
      </c>
      <c r="C196" s="24" t="s">
        <v>731</v>
      </c>
      <c r="D196" s="24" t="s">
        <v>731</v>
      </c>
      <c r="E196" s="24"/>
      <c r="F196" s="42">
        <f>F197+F199</f>
        <v>193</v>
      </c>
      <c r="G196" s="42">
        <f>G197+G199</f>
        <v>193</v>
      </c>
    </row>
    <row r="197" spans="1:7" s="39" customFormat="1" ht="15" x14ac:dyDescent="0.2">
      <c r="A197" s="84" t="s">
        <v>473</v>
      </c>
      <c r="B197" s="30" t="s">
        <v>542</v>
      </c>
      <c r="C197" s="30" t="s">
        <v>731</v>
      </c>
      <c r="D197" s="30" t="s">
        <v>731</v>
      </c>
      <c r="E197" s="30" t="s">
        <v>226</v>
      </c>
      <c r="F197" s="41">
        <f>F198</f>
        <v>190</v>
      </c>
      <c r="G197" s="41">
        <f>G198</f>
        <v>190</v>
      </c>
    </row>
    <row r="198" spans="1:7" s="39" customFormat="1" ht="15" x14ac:dyDescent="0.2">
      <c r="A198" s="84" t="s">
        <v>227</v>
      </c>
      <c r="B198" s="30" t="s">
        <v>542</v>
      </c>
      <c r="C198" s="30" t="s">
        <v>731</v>
      </c>
      <c r="D198" s="30" t="s">
        <v>731</v>
      </c>
      <c r="E198" s="30" t="s">
        <v>228</v>
      </c>
      <c r="F198" s="41">
        <v>190</v>
      </c>
      <c r="G198" s="41">
        <v>190</v>
      </c>
    </row>
    <row r="199" spans="1:7" s="39" customFormat="1" ht="15" x14ac:dyDescent="0.2">
      <c r="A199" s="84" t="s">
        <v>229</v>
      </c>
      <c r="B199" s="30" t="s">
        <v>542</v>
      </c>
      <c r="C199" s="30" t="s">
        <v>731</v>
      </c>
      <c r="D199" s="30" t="s">
        <v>731</v>
      </c>
      <c r="E199" s="30" t="s">
        <v>230</v>
      </c>
      <c r="F199" s="41">
        <f>F200</f>
        <v>3</v>
      </c>
      <c r="G199" s="41">
        <f>G200</f>
        <v>3</v>
      </c>
    </row>
    <row r="200" spans="1:7" s="39" customFormat="1" ht="15" x14ac:dyDescent="0.2">
      <c r="A200" s="84" t="s">
        <v>106</v>
      </c>
      <c r="B200" s="30" t="s">
        <v>542</v>
      </c>
      <c r="C200" s="30" t="s">
        <v>731</v>
      </c>
      <c r="D200" s="30" t="s">
        <v>731</v>
      </c>
      <c r="E200" s="30" t="s">
        <v>231</v>
      </c>
      <c r="F200" s="41">
        <v>3</v>
      </c>
      <c r="G200" s="41">
        <v>3</v>
      </c>
    </row>
    <row r="201" spans="1:7" s="39" customFormat="1" ht="15" x14ac:dyDescent="0.2">
      <c r="A201" s="75" t="s">
        <v>10</v>
      </c>
      <c r="B201" s="24" t="s">
        <v>55</v>
      </c>
      <c r="C201" s="24"/>
      <c r="D201" s="24"/>
      <c r="E201" s="24"/>
      <c r="F201" s="42">
        <f t="shared" ref="F201:G204" si="29">F202</f>
        <v>5000</v>
      </c>
      <c r="G201" s="42">
        <f t="shared" si="29"/>
        <v>5000</v>
      </c>
    </row>
    <row r="202" spans="1:7" s="39" customFormat="1" ht="15" x14ac:dyDescent="0.2">
      <c r="A202" s="80" t="s">
        <v>667</v>
      </c>
      <c r="B202" s="24" t="s">
        <v>55</v>
      </c>
      <c r="C202" s="24" t="s">
        <v>731</v>
      </c>
      <c r="D202" s="24"/>
      <c r="E202" s="24"/>
      <c r="F202" s="42">
        <f t="shared" si="29"/>
        <v>5000</v>
      </c>
      <c r="G202" s="42">
        <f t="shared" si="29"/>
        <v>5000</v>
      </c>
    </row>
    <row r="203" spans="1:7" s="39" customFormat="1" ht="15" x14ac:dyDescent="0.2">
      <c r="A203" s="80" t="s">
        <v>671</v>
      </c>
      <c r="B203" s="24" t="s">
        <v>55</v>
      </c>
      <c r="C203" s="24" t="s">
        <v>731</v>
      </c>
      <c r="D203" s="24" t="s">
        <v>817</v>
      </c>
      <c r="E203" s="24"/>
      <c r="F203" s="42">
        <f t="shared" si="29"/>
        <v>5000</v>
      </c>
      <c r="G203" s="42">
        <f t="shared" si="29"/>
        <v>5000</v>
      </c>
    </row>
    <row r="204" spans="1:7" s="39" customFormat="1" ht="15" x14ac:dyDescent="0.2">
      <c r="A204" s="84" t="s">
        <v>473</v>
      </c>
      <c r="B204" s="30" t="s">
        <v>55</v>
      </c>
      <c r="C204" s="30" t="s">
        <v>731</v>
      </c>
      <c r="D204" s="30" t="s">
        <v>817</v>
      </c>
      <c r="E204" s="30" t="s">
        <v>226</v>
      </c>
      <c r="F204" s="41">
        <f t="shared" si="29"/>
        <v>5000</v>
      </c>
      <c r="G204" s="41">
        <f t="shared" si="29"/>
        <v>5000</v>
      </c>
    </row>
    <row r="205" spans="1:7" s="39" customFormat="1" ht="15" x14ac:dyDescent="0.2">
      <c r="A205" s="84" t="s">
        <v>227</v>
      </c>
      <c r="B205" s="30" t="s">
        <v>55</v>
      </c>
      <c r="C205" s="30" t="s">
        <v>731</v>
      </c>
      <c r="D205" s="30" t="s">
        <v>817</v>
      </c>
      <c r="E205" s="30" t="s">
        <v>228</v>
      </c>
      <c r="F205" s="41">
        <v>5000</v>
      </c>
      <c r="G205" s="41">
        <v>5000</v>
      </c>
    </row>
    <row r="206" spans="1:7" s="39" customFormat="1" ht="15" x14ac:dyDescent="0.2">
      <c r="A206" s="75" t="s">
        <v>557</v>
      </c>
      <c r="B206" s="24" t="s">
        <v>56</v>
      </c>
      <c r="C206" s="24"/>
      <c r="D206" s="24"/>
      <c r="E206" s="24"/>
      <c r="F206" s="42">
        <f t="shared" ref="F206:G209" si="30">F207</f>
        <v>1000</v>
      </c>
      <c r="G206" s="42">
        <f t="shared" si="30"/>
        <v>1000</v>
      </c>
    </row>
    <row r="207" spans="1:7" s="39" customFormat="1" ht="15" x14ac:dyDescent="0.2">
      <c r="A207" s="80" t="s">
        <v>667</v>
      </c>
      <c r="B207" s="24" t="s">
        <v>56</v>
      </c>
      <c r="C207" s="24" t="s">
        <v>731</v>
      </c>
      <c r="D207" s="24"/>
      <c r="E207" s="24"/>
      <c r="F207" s="42">
        <f t="shared" si="30"/>
        <v>1000</v>
      </c>
      <c r="G207" s="42">
        <f t="shared" si="30"/>
        <v>1000</v>
      </c>
    </row>
    <row r="208" spans="1:7" s="39" customFormat="1" ht="15" x14ac:dyDescent="0.2">
      <c r="A208" s="80" t="s">
        <v>671</v>
      </c>
      <c r="B208" s="24" t="s">
        <v>56</v>
      </c>
      <c r="C208" s="24" t="s">
        <v>731</v>
      </c>
      <c r="D208" s="24" t="s">
        <v>817</v>
      </c>
      <c r="E208" s="24"/>
      <c r="F208" s="42">
        <f t="shared" si="30"/>
        <v>1000</v>
      </c>
      <c r="G208" s="42">
        <f t="shared" si="30"/>
        <v>1000</v>
      </c>
    </row>
    <row r="209" spans="1:7" s="39" customFormat="1" ht="15" x14ac:dyDescent="0.2">
      <c r="A209" s="84" t="s">
        <v>473</v>
      </c>
      <c r="B209" s="30" t="s">
        <v>56</v>
      </c>
      <c r="C209" s="30" t="s">
        <v>731</v>
      </c>
      <c r="D209" s="30" t="s">
        <v>817</v>
      </c>
      <c r="E209" s="30" t="s">
        <v>226</v>
      </c>
      <c r="F209" s="41">
        <f t="shared" si="30"/>
        <v>1000</v>
      </c>
      <c r="G209" s="41">
        <f t="shared" si="30"/>
        <v>1000</v>
      </c>
    </row>
    <row r="210" spans="1:7" s="39" customFormat="1" ht="15" x14ac:dyDescent="0.2">
      <c r="A210" s="84" t="s">
        <v>227</v>
      </c>
      <c r="B210" s="30" t="s">
        <v>56</v>
      </c>
      <c r="C210" s="30" t="s">
        <v>731</v>
      </c>
      <c r="D210" s="30" t="s">
        <v>817</v>
      </c>
      <c r="E210" s="30" t="s">
        <v>228</v>
      </c>
      <c r="F210" s="41">
        <v>1000</v>
      </c>
      <c r="G210" s="41">
        <v>1000</v>
      </c>
    </row>
    <row r="211" spans="1:7" s="39" customFormat="1" ht="15" x14ac:dyDescent="0.2">
      <c r="A211" s="80" t="s">
        <v>558</v>
      </c>
      <c r="B211" s="24" t="s">
        <v>57</v>
      </c>
      <c r="C211" s="24"/>
      <c r="D211" s="24"/>
      <c r="E211" s="24"/>
      <c r="F211" s="42">
        <f t="shared" ref="F211:G214" si="31">F212</f>
        <v>1000</v>
      </c>
      <c r="G211" s="42">
        <f t="shared" si="31"/>
        <v>1000</v>
      </c>
    </row>
    <row r="212" spans="1:7" s="39" customFormat="1" ht="15" x14ac:dyDescent="0.2">
      <c r="A212" s="80" t="s">
        <v>667</v>
      </c>
      <c r="B212" s="24" t="s">
        <v>57</v>
      </c>
      <c r="C212" s="24" t="s">
        <v>731</v>
      </c>
      <c r="D212" s="24"/>
      <c r="E212" s="24"/>
      <c r="F212" s="42">
        <f t="shared" si="31"/>
        <v>1000</v>
      </c>
      <c r="G212" s="42">
        <f t="shared" si="31"/>
        <v>1000</v>
      </c>
    </row>
    <row r="213" spans="1:7" s="39" customFormat="1" ht="15" x14ac:dyDescent="0.2">
      <c r="A213" s="80" t="s">
        <v>671</v>
      </c>
      <c r="B213" s="24" t="s">
        <v>57</v>
      </c>
      <c r="C213" s="24" t="s">
        <v>731</v>
      </c>
      <c r="D213" s="24" t="s">
        <v>817</v>
      </c>
      <c r="E213" s="24"/>
      <c r="F213" s="42">
        <f t="shared" si="31"/>
        <v>1000</v>
      </c>
      <c r="G213" s="42">
        <f t="shared" si="31"/>
        <v>1000</v>
      </c>
    </row>
    <row r="214" spans="1:7" s="39" customFormat="1" ht="15" x14ac:dyDescent="0.2">
      <c r="A214" s="84" t="s">
        <v>473</v>
      </c>
      <c r="B214" s="30" t="s">
        <v>57</v>
      </c>
      <c r="C214" s="30" t="s">
        <v>731</v>
      </c>
      <c r="D214" s="30" t="s">
        <v>817</v>
      </c>
      <c r="E214" s="30" t="s">
        <v>226</v>
      </c>
      <c r="F214" s="41">
        <f t="shared" si="31"/>
        <v>1000</v>
      </c>
      <c r="G214" s="41">
        <f t="shared" si="31"/>
        <v>1000</v>
      </c>
    </row>
    <row r="215" spans="1:7" s="39" customFormat="1" ht="15" x14ac:dyDescent="0.2">
      <c r="A215" s="84" t="s">
        <v>227</v>
      </c>
      <c r="B215" s="30" t="s">
        <v>57</v>
      </c>
      <c r="C215" s="30" t="s">
        <v>731</v>
      </c>
      <c r="D215" s="30" t="s">
        <v>817</v>
      </c>
      <c r="E215" s="30" t="s">
        <v>228</v>
      </c>
      <c r="F215" s="41">
        <v>1000</v>
      </c>
      <c r="G215" s="41">
        <v>1000</v>
      </c>
    </row>
    <row r="216" spans="1:7" s="39" customFormat="1" ht="24" x14ac:dyDescent="0.2">
      <c r="A216" s="75" t="s">
        <v>535</v>
      </c>
      <c r="B216" s="24" t="s">
        <v>58</v>
      </c>
      <c r="C216" s="24"/>
      <c r="D216" s="24"/>
      <c r="E216" s="24"/>
      <c r="F216" s="42">
        <f t="shared" ref="F216:G219" si="32">F217</f>
        <v>2500</v>
      </c>
      <c r="G216" s="42">
        <f t="shared" si="32"/>
        <v>2500</v>
      </c>
    </row>
    <row r="217" spans="1:7" s="39" customFormat="1" ht="15" x14ac:dyDescent="0.2">
      <c r="A217" s="80" t="s">
        <v>667</v>
      </c>
      <c r="B217" s="24" t="s">
        <v>58</v>
      </c>
      <c r="C217" s="24" t="s">
        <v>731</v>
      </c>
      <c r="D217" s="24"/>
      <c r="E217" s="24"/>
      <c r="F217" s="42">
        <f t="shared" si="32"/>
        <v>2500</v>
      </c>
      <c r="G217" s="42">
        <f t="shared" si="32"/>
        <v>2500</v>
      </c>
    </row>
    <row r="218" spans="1:7" s="39" customFormat="1" ht="15" x14ac:dyDescent="0.2">
      <c r="A218" s="80" t="s">
        <v>671</v>
      </c>
      <c r="B218" s="24" t="s">
        <v>58</v>
      </c>
      <c r="C218" s="24" t="s">
        <v>731</v>
      </c>
      <c r="D218" s="24" t="s">
        <v>817</v>
      </c>
      <c r="E218" s="24"/>
      <c r="F218" s="42">
        <f t="shared" si="32"/>
        <v>2500</v>
      </c>
      <c r="G218" s="42">
        <f t="shared" si="32"/>
        <v>2500</v>
      </c>
    </row>
    <row r="219" spans="1:7" s="39" customFormat="1" ht="15" x14ac:dyDescent="0.2">
      <c r="A219" s="84" t="s">
        <v>473</v>
      </c>
      <c r="B219" s="30" t="s">
        <v>58</v>
      </c>
      <c r="C219" s="30" t="s">
        <v>731</v>
      </c>
      <c r="D219" s="30" t="s">
        <v>817</v>
      </c>
      <c r="E219" s="30" t="s">
        <v>226</v>
      </c>
      <c r="F219" s="41">
        <f t="shared" si="32"/>
        <v>2500</v>
      </c>
      <c r="G219" s="41">
        <f t="shared" si="32"/>
        <v>2500</v>
      </c>
    </row>
    <row r="220" spans="1:7" s="39" customFormat="1" ht="15" x14ac:dyDescent="0.2">
      <c r="A220" s="84" t="s">
        <v>227</v>
      </c>
      <c r="B220" s="30" t="s">
        <v>58</v>
      </c>
      <c r="C220" s="30" t="s">
        <v>731</v>
      </c>
      <c r="D220" s="30" t="s">
        <v>817</v>
      </c>
      <c r="E220" s="30" t="s">
        <v>228</v>
      </c>
      <c r="F220" s="41">
        <v>2500</v>
      </c>
      <c r="G220" s="41">
        <v>2500</v>
      </c>
    </row>
    <row r="221" spans="1:7" s="39" customFormat="1" ht="15" x14ac:dyDescent="0.2">
      <c r="A221" s="75" t="s">
        <v>536</v>
      </c>
      <c r="B221" s="37" t="s">
        <v>59</v>
      </c>
      <c r="C221" s="24"/>
      <c r="D221" s="24"/>
      <c r="E221" s="37"/>
      <c r="F221" s="42">
        <f t="shared" ref="F221:G224" si="33">F222</f>
        <v>1000</v>
      </c>
      <c r="G221" s="42">
        <f t="shared" si="33"/>
        <v>1000</v>
      </c>
    </row>
    <row r="222" spans="1:7" s="39" customFormat="1" ht="15" x14ac:dyDescent="0.2">
      <c r="A222" s="80" t="s">
        <v>667</v>
      </c>
      <c r="B222" s="24" t="s">
        <v>59</v>
      </c>
      <c r="C222" s="24" t="s">
        <v>731</v>
      </c>
      <c r="D222" s="24"/>
      <c r="E222" s="37"/>
      <c r="F222" s="42">
        <f t="shared" si="33"/>
        <v>1000</v>
      </c>
      <c r="G222" s="42">
        <f t="shared" si="33"/>
        <v>1000</v>
      </c>
    </row>
    <row r="223" spans="1:7" s="39" customFormat="1" ht="15" x14ac:dyDescent="0.2">
      <c r="A223" s="80" t="s">
        <v>671</v>
      </c>
      <c r="B223" s="24" t="s">
        <v>59</v>
      </c>
      <c r="C223" s="24" t="s">
        <v>731</v>
      </c>
      <c r="D223" s="24" t="s">
        <v>817</v>
      </c>
      <c r="E223" s="37"/>
      <c r="F223" s="42">
        <f t="shared" si="33"/>
        <v>1000</v>
      </c>
      <c r="G223" s="42">
        <f t="shared" si="33"/>
        <v>1000</v>
      </c>
    </row>
    <row r="224" spans="1:7" s="39" customFormat="1" ht="15" x14ac:dyDescent="0.2">
      <c r="A224" s="84" t="s">
        <v>322</v>
      </c>
      <c r="B224" s="31" t="s">
        <v>59</v>
      </c>
      <c r="C224" s="30" t="s">
        <v>731</v>
      </c>
      <c r="D224" s="30" t="s">
        <v>817</v>
      </c>
      <c r="E224" s="30" t="s">
        <v>226</v>
      </c>
      <c r="F224" s="41">
        <f t="shared" si="33"/>
        <v>1000</v>
      </c>
      <c r="G224" s="41">
        <f t="shared" si="33"/>
        <v>1000</v>
      </c>
    </row>
    <row r="225" spans="1:7" s="39" customFormat="1" ht="15" x14ac:dyDescent="0.2">
      <c r="A225" s="84" t="s">
        <v>227</v>
      </c>
      <c r="B225" s="31" t="s">
        <v>59</v>
      </c>
      <c r="C225" s="30" t="s">
        <v>731</v>
      </c>
      <c r="D225" s="30" t="s">
        <v>817</v>
      </c>
      <c r="E225" s="30" t="s">
        <v>228</v>
      </c>
      <c r="F225" s="41">
        <v>1000</v>
      </c>
      <c r="G225" s="41">
        <v>1000</v>
      </c>
    </row>
    <row r="226" spans="1:7" s="39" customFormat="1" ht="15" x14ac:dyDescent="0.2">
      <c r="A226" s="87" t="s">
        <v>409</v>
      </c>
      <c r="B226" s="24" t="s">
        <v>60</v>
      </c>
      <c r="C226" s="24"/>
      <c r="D226" s="24"/>
      <c r="E226" s="24"/>
      <c r="F226" s="42">
        <f t="shared" ref="F226:G229" si="34">F227</f>
        <v>50000</v>
      </c>
      <c r="G226" s="42">
        <f t="shared" si="34"/>
        <v>50000</v>
      </c>
    </row>
    <row r="227" spans="1:7" s="39" customFormat="1" ht="15" x14ac:dyDescent="0.2">
      <c r="A227" s="80" t="s">
        <v>667</v>
      </c>
      <c r="B227" s="24" t="s">
        <v>60</v>
      </c>
      <c r="C227" s="24" t="s">
        <v>731</v>
      </c>
      <c r="D227" s="24"/>
      <c r="E227" s="24"/>
      <c r="F227" s="42">
        <f t="shared" si="34"/>
        <v>50000</v>
      </c>
      <c r="G227" s="42">
        <f t="shared" si="34"/>
        <v>50000</v>
      </c>
    </row>
    <row r="228" spans="1:7" s="39" customFormat="1" ht="15" x14ac:dyDescent="0.2">
      <c r="A228" s="80" t="s">
        <v>671</v>
      </c>
      <c r="B228" s="24" t="s">
        <v>60</v>
      </c>
      <c r="C228" s="24" t="s">
        <v>731</v>
      </c>
      <c r="D228" s="24" t="s">
        <v>817</v>
      </c>
      <c r="E228" s="24"/>
      <c r="F228" s="42">
        <f t="shared" si="34"/>
        <v>50000</v>
      </c>
      <c r="G228" s="42">
        <f t="shared" si="34"/>
        <v>50000</v>
      </c>
    </row>
    <row r="229" spans="1:7" s="39" customFormat="1" ht="15" x14ac:dyDescent="0.2">
      <c r="A229" s="84" t="s">
        <v>473</v>
      </c>
      <c r="B229" s="30" t="s">
        <v>60</v>
      </c>
      <c r="C229" s="30" t="s">
        <v>731</v>
      </c>
      <c r="D229" s="30" t="s">
        <v>817</v>
      </c>
      <c r="E229" s="30" t="s">
        <v>226</v>
      </c>
      <c r="F229" s="41">
        <f t="shared" si="34"/>
        <v>50000</v>
      </c>
      <c r="G229" s="41">
        <f t="shared" si="34"/>
        <v>50000</v>
      </c>
    </row>
    <row r="230" spans="1:7" s="39" customFormat="1" ht="15" x14ac:dyDescent="0.2">
      <c r="A230" s="84" t="s">
        <v>227</v>
      </c>
      <c r="B230" s="30" t="s">
        <v>60</v>
      </c>
      <c r="C230" s="30" t="s">
        <v>731</v>
      </c>
      <c r="D230" s="30" t="s">
        <v>817</v>
      </c>
      <c r="E230" s="30" t="s">
        <v>228</v>
      </c>
      <c r="F230" s="41">
        <v>50000</v>
      </c>
      <c r="G230" s="41">
        <v>50000</v>
      </c>
    </row>
    <row r="231" spans="1:7" s="39" customFormat="1" ht="24" x14ac:dyDescent="0.2">
      <c r="A231" s="80" t="s">
        <v>543</v>
      </c>
      <c r="B231" s="24" t="s">
        <v>62</v>
      </c>
      <c r="C231" s="24"/>
      <c r="D231" s="24"/>
      <c r="E231" s="24"/>
      <c r="F231" s="42">
        <f t="shared" ref="F231:G234" si="35">F232</f>
        <v>500</v>
      </c>
      <c r="G231" s="42">
        <f t="shared" si="35"/>
        <v>500</v>
      </c>
    </row>
    <row r="232" spans="1:7" s="39" customFormat="1" ht="15" x14ac:dyDescent="0.2">
      <c r="A232" s="80" t="s">
        <v>667</v>
      </c>
      <c r="B232" s="24" t="s">
        <v>62</v>
      </c>
      <c r="C232" s="24" t="s">
        <v>731</v>
      </c>
      <c r="D232" s="24"/>
      <c r="E232" s="24"/>
      <c r="F232" s="42">
        <f t="shared" si="35"/>
        <v>500</v>
      </c>
      <c r="G232" s="42">
        <f t="shared" si="35"/>
        <v>500</v>
      </c>
    </row>
    <row r="233" spans="1:7" s="39" customFormat="1" ht="15" x14ac:dyDescent="0.2">
      <c r="A233" s="80" t="s">
        <v>671</v>
      </c>
      <c r="B233" s="24" t="s">
        <v>62</v>
      </c>
      <c r="C233" s="24" t="s">
        <v>731</v>
      </c>
      <c r="D233" s="24" t="s">
        <v>817</v>
      </c>
      <c r="E233" s="24"/>
      <c r="F233" s="42">
        <f t="shared" si="35"/>
        <v>500</v>
      </c>
      <c r="G233" s="42">
        <f t="shared" si="35"/>
        <v>500</v>
      </c>
    </row>
    <row r="234" spans="1:7" s="39" customFormat="1" ht="15" x14ac:dyDescent="0.2">
      <c r="A234" s="84" t="s">
        <v>473</v>
      </c>
      <c r="B234" s="30" t="s">
        <v>62</v>
      </c>
      <c r="C234" s="30" t="s">
        <v>731</v>
      </c>
      <c r="D234" s="30" t="s">
        <v>817</v>
      </c>
      <c r="E234" s="30" t="s">
        <v>226</v>
      </c>
      <c r="F234" s="41">
        <f t="shared" si="35"/>
        <v>500</v>
      </c>
      <c r="G234" s="41">
        <f t="shared" si="35"/>
        <v>500</v>
      </c>
    </row>
    <row r="235" spans="1:7" s="39" customFormat="1" ht="15" x14ac:dyDescent="0.2">
      <c r="A235" s="84" t="s">
        <v>227</v>
      </c>
      <c r="B235" s="30" t="s">
        <v>62</v>
      </c>
      <c r="C235" s="30" t="s">
        <v>731</v>
      </c>
      <c r="D235" s="30" t="s">
        <v>817</v>
      </c>
      <c r="E235" s="30" t="s">
        <v>228</v>
      </c>
      <c r="F235" s="41">
        <v>500</v>
      </c>
      <c r="G235" s="41">
        <v>500</v>
      </c>
    </row>
    <row r="236" spans="1:7" s="39" customFormat="1" ht="15" x14ac:dyDescent="0.2">
      <c r="A236" s="80" t="s">
        <v>430</v>
      </c>
      <c r="B236" s="24" t="s">
        <v>63</v>
      </c>
      <c r="C236" s="24"/>
      <c r="D236" s="24"/>
      <c r="E236" s="24"/>
      <c r="F236" s="42">
        <f>F237</f>
        <v>6000</v>
      </c>
      <c r="G236" s="42">
        <f>G237</f>
        <v>6000</v>
      </c>
    </row>
    <row r="237" spans="1:7" s="39" customFormat="1" ht="15" x14ac:dyDescent="0.2">
      <c r="A237" s="61" t="s">
        <v>655</v>
      </c>
      <c r="B237" s="24" t="s">
        <v>63</v>
      </c>
      <c r="C237" s="24" t="s">
        <v>216</v>
      </c>
      <c r="D237" s="24"/>
      <c r="E237" s="24"/>
      <c r="F237" s="42">
        <f>F238</f>
        <v>6000</v>
      </c>
      <c r="G237" s="42">
        <f>G238</f>
        <v>6000</v>
      </c>
    </row>
    <row r="238" spans="1:7" s="39" customFormat="1" ht="15" x14ac:dyDescent="0.2">
      <c r="A238" s="61" t="s">
        <v>665</v>
      </c>
      <c r="B238" s="24" t="s">
        <v>63</v>
      </c>
      <c r="C238" s="24" t="s">
        <v>216</v>
      </c>
      <c r="D238" s="24" t="s">
        <v>824</v>
      </c>
      <c r="E238" s="24"/>
      <c r="F238" s="42">
        <f>F239+F241+F243</f>
        <v>6000</v>
      </c>
      <c r="G238" s="42">
        <f>G239+G241+G243</f>
        <v>6000</v>
      </c>
    </row>
    <row r="239" spans="1:7" s="39" customFormat="1" ht="36" x14ac:dyDescent="0.2">
      <c r="A239" s="84" t="s">
        <v>217</v>
      </c>
      <c r="B239" s="30" t="s">
        <v>63</v>
      </c>
      <c r="C239" s="30" t="s">
        <v>216</v>
      </c>
      <c r="D239" s="30" t="s">
        <v>824</v>
      </c>
      <c r="E239" s="30" t="s">
        <v>218</v>
      </c>
      <c r="F239" s="41">
        <f>F240</f>
        <v>5041</v>
      </c>
      <c r="G239" s="41">
        <f>G240</f>
        <v>5041</v>
      </c>
    </row>
    <row r="240" spans="1:7" s="39" customFormat="1" ht="15" x14ac:dyDescent="0.2">
      <c r="A240" s="84" t="s">
        <v>820</v>
      </c>
      <c r="B240" s="30" t="s">
        <v>63</v>
      </c>
      <c r="C240" s="30" t="s">
        <v>216</v>
      </c>
      <c r="D240" s="30" t="s">
        <v>824</v>
      </c>
      <c r="E240" s="30" t="s">
        <v>821</v>
      </c>
      <c r="F240" s="41">
        <v>5041</v>
      </c>
      <c r="G240" s="41">
        <v>5041</v>
      </c>
    </row>
    <row r="241" spans="1:7" s="39" customFormat="1" ht="15" x14ac:dyDescent="0.2">
      <c r="A241" s="84" t="s">
        <v>473</v>
      </c>
      <c r="B241" s="30" t="s">
        <v>63</v>
      </c>
      <c r="C241" s="30" t="s">
        <v>216</v>
      </c>
      <c r="D241" s="30" t="s">
        <v>824</v>
      </c>
      <c r="E241" s="30" t="s">
        <v>226</v>
      </c>
      <c r="F241" s="41">
        <f>F242</f>
        <v>934</v>
      </c>
      <c r="G241" s="41">
        <f>G242</f>
        <v>934</v>
      </c>
    </row>
    <row r="242" spans="1:7" s="39" customFormat="1" ht="15" x14ac:dyDescent="0.2">
      <c r="A242" s="84" t="s">
        <v>227</v>
      </c>
      <c r="B242" s="30" t="s">
        <v>63</v>
      </c>
      <c r="C242" s="30" t="s">
        <v>216</v>
      </c>
      <c r="D242" s="30" t="s">
        <v>824</v>
      </c>
      <c r="E242" s="30" t="s">
        <v>228</v>
      </c>
      <c r="F242" s="41">
        <v>934</v>
      </c>
      <c r="G242" s="41">
        <v>934</v>
      </c>
    </row>
    <row r="243" spans="1:7" s="39" customFormat="1" ht="15" x14ac:dyDescent="0.2">
      <c r="A243" s="84" t="s">
        <v>229</v>
      </c>
      <c r="B243" s="30" t="s">
        <v>63</v>
      </c>
      <c r="C243" s="30" t="s">
        <v>216</v>
      </c>
      <c r="D243" s="30" t="s">
        <v>824</v>
      </c>
      <c r="E243" s="30" t="s">
        <v>230</v>
      </c>
      <c r="F243" s="41">
        <f>F244</f>
        <v>25</v>
      </c>
      <c r="G243" s="41">
        <f>G244</f>
        <v>25</v>
      </c>
    </row>
    <row r="244" spans="1:7" s="39" customFormat="1" ht="15" x14ac:dyDescent="0.2">
      <c r="A244" s="84" t="s">
        <v>311</v>
      </c>
      <c r="B244" s="30" t="s">
        <v>63</v>
      </c>
      <c r="C244" s="30" t="s">
        <v>216</v>
      </c>
      <c r="D244" s="30" t="s">
        <v>824</v>
      </c>
      <c r="E244" s="30" t="s">
        <v>231</v>
      </c>
      <c r="F244" s="41">
        <v>25</v>
      </c>
      <c r="G244" s="41">
        <v>25</v>
      </c>
    </row>
    <row r="245" spans="1:7" s="39" customFormat="1" ht="24" x14ac:dyDescent="0.2">
      <c r="A245" s="80" t="s">
        <v>431</v>
      </c>
      <c r="B245" s="24" t="s">
        <v>64</v>
      </c>
      <c r="C245" s="24"/>
      <c r="D245" s="24"/>
      <c r="E245" s="24"/>
      <c r="F245" s="42">
        <f t="shared" ref="F245:G248" si="36">F246</f>
        <v>161600</v>
      </c>
      <c r="G245" s="42">
        <f t="shared" si="36"/>
        <v>161600</v>
      </c>
    </row>
    <row r="246" spans="1:7" s="39" customFormat="1" ht="15" x14ac:dyDescent="0.2">
      <c r="A246" s="80" t="s">
        <v>667</v>
      </c>
      <c r="B246" s="24" t="s">
        <v>64</v>
      </c>
      <c r="C246" s="24" t="s">
        <v>731</v>
      </c>
      <c r="D246" s="24"/>
      <c r="E246" s="24"/>
      <c r="F246" s="42">
        <f t="shared" si="36"/>
        <v>161600</v>
      </c>
      <c r="G246" s="42">
        <f t="shared" si="36"/>
        <v>161600</v>
      </c>
    </row>
    <row r="247" spans="1:7" s="39" customFormat="1" ht="15" x14ac:dyDescent="0.2">
      <c r="A247" s="80" t="s">
        <v>671</v>
      </c>
      <c r="B247" s="24" t="s">
        <v>64</v>
      </c>
      <c r="C247" s="24" t="s">
        <v>731</v>
      </c>
      <c r="D247" s="24" t="s">
        <v>817</v>
      </c>
      <c r="E247" s="24"/>
      <c r="F247" s="42">
        <f t="shared" si="36"/>
        <v>161600</v>
      </c>
      <c r="G247" s="42">
        <f t="shared" si="36"/>
        <v>161600</v>
      </c>
    </row>
    <row r="248" spans="1:7" s="39" customFormat="1" ht="24" x14ac:dyDescent="0.2">
      <c r="A248" s="84" t="s">
        <v>246</v>
      </c>
      <c r="B248" s="30" t="s">
        <v>64</v>
      </c>
      <c r="C248" s="30" t="s">
        <v>731</v>
      </c>
      <c r="D248" s="30" t="s">
        <v>817</v>
      </c>
      <c r="E248" s="30" t="s">
        <v>702</v>
      </c>
      <c r="F248" s="41">
        <f t="shared" si="36"/>
        <v>161600</v>
      </c>
      <c r="G248" s="41">
        <f t="shared" si="36"/>
        <v>161600</v>
      </c>
    </row>
    <row r="249" spans="1:7" s="39" customFormat="1" ht="15" x14ac:dyDescent="0.2">
      <c r="A249" s="84" t="s">
        <v>247</v>
      </c>
      <c r="B249" s="30" t="s">
        <v>64</v>
      </c>
      <c r="C249" s="30" t="s">
        <v>731</v>
      </c>
      <c r="D249" s="30" t="s">
        <v>817</v>
      </c>
      <c r="E249" s="30" t="s">
        <v>724</v>
      </c>
      <c r="F249" s="41">
        <v>161600</v>
      </c>
      <c r="G249" s="41">
        <v>161600</v>
      </c>
    </row>
    <row r="250" spans="1:7" s="39" customFormat="1" ht="15" x14ac:dyDescent="0.2">
      <c r="A250" s="80" t="s">
        <v>418</v>
      </c>
      <c r="B250" s="24" t="s">
        <v>41</v>
      </c>
      <c r="C250" s="24"/>
      <c r="D250" s="24"/>
      <c r="E250" s="24"/>
      <c r="F250" s="117">
        <f t="shared" ref="F250:G253" si="37">F251</f>
        <v>45035.4</v>
      </c>
      <c r="G250" s="117">
        <f t="shared" si="37"/>
        <v>44000</v>
      </c>
    </row>
    <row r="251" spans="1:7" s="39" customFormat="1" ht="15" x14ac:dyDescent="0.2">
      <c r="A251" s="80" t="s">
        <v>667</v>
      </c>
      <c r="B251" s="24" t="s">
        <v>41</v>
      </c>
      <c r="C251" s="24" t="s">
        <v>731</v>
      </c>
      <c r="D251" s="24"/>
      <c r="E251" s="24"/>
      <c r="F251" s="117">
        <f t="shared" si="37"/>
        <v>45035.4</v>
      </c>
      <c r="G251" s="117">
        <f t="shared" si="37"/>
        <v>44000</v>
      </c>
    </row>
    <row r="252" spans="1:7" s="39" customFormat="1" ht="15" x14ac:dyDescent="0.2">
      <c r="A252" s="80" t="s">
        <v>671</v>
      </c>
      <c r="B252" s="24" t="s">
        <v>41</v>
      </c>
      <c r="C252" s="24" t="s">
        <v>731</v>
      </c>
      <c r="D252" s="24" t="s">
        <v>817</v>
      </c>
      <c r="E252" s="24"/>
      <c r="F252" s="117">
        <f t="shared" si="37"/>
        <v>45035.4</v>
      </c>
      <c r="G252" s="117">
        <f t="shared" si="37"/>
        <v>44000</v>
      </c>
    </row>
    <row r="253" spans="1:7" s="39" customFormat="1" ht="15" x14ac:dyDescent="0.2">
      <c r="A253" s="84" t="s">
        <v>473</v>
      </c>
      <c r="B253" s="30" t="s">
        <v>41</v>
      </c>
      <c r="C253" s="30" t="s">
        <v>731</v>
      </c>
      <c r="D253" s="30" t="s">
        <v>817</v>
      </c>
      <c r="E253" s="30" t="s">
        <v>226</v>
      </c>
      <c r="F253" s="118">
        <f t="shared" si="37"/>
        <v>45035.4</v>
      </c>
      <c r="G253" s="118">
        <f t="shared" si="37"/>
        <v>44000</v>
      </c>
    </row>
    <row r="254" spans="1:7" s="39" customFormat="1" ht="15" x14ac:dyDescent="0.2">
      <c r="A254" s="84" t="s">
        <v>227</v>
      </c>
      <c r="B254" s="30" t="s">
        <v>41</v>
      </c>
      <c r="C254" s="30" t="s">
        <v>731</v>
      </c>
      <c r="D254" s="30" t="s">
        <v>817</v>
      </c>
      <c r="E254" s="30" t="s">
        <v>228</v>
      </c>
      <c r="F254" s="118">
        <v>45035.4</v>
      </c>
      <c r="G254" s="118">
        <v>44000</v>
      </c>
    </row>
    <row r="255" spans="1:7" s="39" customFormat="1" ht="40.5" x14ac:dyDescent="0.2">
      <c r="A255" s="152" t="s">
        <v>699</v>
      </c>
      <c r="B255" s="154" t="s">
        <v>387</v>
      </c>
      <c r="C255" s="154"/>
      <c r="D255" s="154"/>
      <c r="E255" s="154"/>
      <c r="F255" s="161">
        <f>F256+F261+F266+F271+F276</f>
        <v>1500</v>
      </c>
      <c r="G255" s="161">
        <f>G256+G261+G266+G271+G276</f>
        <v>1500</v>
      </c>
    </row>
    <row r="256" spans="1:7" s="39" customFormat="1" ht="48" x14ac:dyDescent="0.2">
      <c r="A256" s="61" t="s">
        <v>16</v>
      </c>
      <c r="B256" s="24" t="s">
        <v>28</v>
      </c>
      <c r="C256" s="24"/>
      <c r="D256" s="24"/>
      <c r="E256" s="24"/>
      <c r="F256" s="35">
        <f t="shared" ref="F256:G259" si="38">F257</f>
        <v>200</v>
      </c>
      <c r="G256" s="35">
        <f t="shared" si="38"/>
        <v>200</v>
      </c>
    </row>
    <row r="257" spans="1:7" s="39" customFormat="1" ht="15" x14ac:dyDescent="0.2">
      <c r="A257" s="61" t="s">
        <v>655</v>
      </c>
      <c r="B257" s="24" t="s">
        <v>28</v>
      </c>
      <c r="C257" s="24" t="s">
        <v>216</v>
      </c>
      <c r="D257" s="24"/>
      <c r="E257" s="24"/>
      <c r="F257" s="35">
        <f t="shared" si="38"/>
        <v>200</v>
      </c>
      <c r="G257" s="35">
        <f t="shared" si="38"/>
        <v>200</v>
      </c>
    </row>
    <row r="258" spans="1:7" s="39" customFormat="1" ht="15" x14ac:dyDescent="0.2">
      <c r="A258" s="61" t="s">
        <v>698</v>
      </c>
      <c r="B258" s="24" t="s">
        <v>28</v>
      </c>
      <c r="C258" s="24" t="s">
        <v>216</v>
      </c>
      <c r="D258" s="24" t="s">
        <v>823</v>
      </c>
      <c r="E258" s="24"/>
      <c r="F258" s="35">
        <f t="shared" si="38"/>
        <v>200</v>
      </c>
      <c r="G258" s="35">
        <f t="shared" si="38"/>
        <v>200</v>
      </c>
    </row>
    <row r="259" spans="1:7" s="39" customFormat="1" ht="15" x14ac:dyDescent="0.2">
      <c r="A259" s="84" t="s">
        <v>473</v>
      </c>
      <c r="B259" s="30" t="s">
        <v>28</v>
      </c>
      <c r="C259" s="30" t="s">
        <v>216</v>
      </c>
      <c r="D259" s="30" t="s">
        <v>823</v>
      </c>
      <c r="E259" s="30" t="s">
        <v>226</v>
      </c>
      <c r="F259" s="116">
        <f t="shared" si="38"/>
        <v>200</v>
      </c>
      <c r="G259" s="116">
        <f t="shared" si="38"/>
        <v>200</v>
      </c>
    </row>
    <row r="260" spans="1:7" s="39" customFormat="1" ht="15" x14ac:dyDescent="0.2">
      <c r="A260" s="84" t="s">
        <v>227</v>
      </c>
      <c r="B260" s="30" t="s">
        <v>28</v>
      </c>
      <c r="C260" s="30" t="s">
        <v>216</v>
      </c>
      <c r="D260" s="30" t="s">
        <v>823</v>
      </c>
      <c r="E260" s="30" t="s">
        <v>228</v>
      </c>
      <c r="F260" s="116">
        <v>200</v>
      </c>
      <c r="G260" s="116">
        <v>200</v>
      </c>
    </row>
    <row r="261" spans="1:7" s="39" customFormat="1" ht="48" x14ac:dyDescent="0.2">
      <c r="A261" s="61" t="s">
        <v>17</v>
      </c>
      <c r="B261" s="24" t="s">
        <v>29</v>
      </c>
      <c r="C261" s="24"/>
      <c r="D261" s="24"/>
      <c r="E261" s="24"/>
      <c r="F261" s="35">
        <f t="shared" ref="F261:G264" si="39">F262</f>
        <v>300</v>
      </c>
      <c r="G261" s="35">
        <f t="shared" si="39"/>
        <v>300</v>
      </c>
    </row>
    <row r="262" spans="1:7" s="39" customFormat="1" ht="15" x14ac:dyDescent="0.2">
      <c r="A262" s="61" t="s">
        <v>655</v>
      </c>
      <c r="B262" s="24" t="s">
        <v>29</v>
      </c>
      <c r="C262" s="24" t="s">
        <v>216</v>
      </c>
      <c r="D262" s="24"/>
      <c r="E262" s="24"/>
      <c r="F262" s="35">
        <f t="shared" si="39"/>
        <v>300</v>
      </c>
      <c r="G262" s="35">
        <f t="shared" si="39"/>
        <v>300</v>
      </c>
    </row>
    <row r="263" spans="1:7" s="39" customFormat="1" ht="15" x14ac:dyDescent="0.2">
      <c r="A263" s="61" t="s">
        <v>698</v>
      </c>
      <c r="B263" s="24" t="s">
        <v>29</v>
      </c>
      <c r="C263" s="24" t="s">
        <v>216</v>
      </c>
      <c r="D263" s="24" t="s">
        <v>823</v>
      </c>
      <c r="E263" s="24"/>
      <c r="F263" s="35">
        <f t="shared" si="39"/>
        <v>300</v>
      </c>
      <c r="G263" s="35">
        <f t="shared" si="39"/>
        <v>300</v>
      </c>
    </row>
    <row r="264" spans="1:7" s="39" customFormat="1" ht="15" x14ac:dyDescent="0.2">
      <c r="A264" s="84" t="s">
        <v>473</v>
      </c>
      <c r="B264" s="30" t="s">
        <v>29</v>
      </c>
      <c r="C264" s="30" t="s">
        <v>216</v>
      </c>
      <c r="D264" s="30" t="s">
        <v>823</v>
      </c>
      <c r="E264" s="30" t="s">
        <v>226</v>
      </c>
      <c r="F264" s="116">
        <f t="shared" si="39"/>
        <v>300</v>
      </c>
      <c r="G264" s="116">
        <f t="shared" si="39"/>
        <v>300</v>
      </c>
    </row>
    <row r="265" spans="1:7" s="39" customFormat="1" ht="15" x14ac:dyDescent="0.2">
      <c r="A265" s="84" t="s">
        <v>227</v>
      </c>
      <c r="B265" s="30" t="s">
        <v>29</v>
      </c>
      <c r="C265" s="30" t="s">
        <v>216</v>
      </c>
      <c r="D265" s="30" t="s">
        <v>823</v>
      </c>
      <c r="E265" s="30" t="s">
        <v>228</v>
      </c>
      <c r="F265" s="116">
        <v>300</v>
      </c>
      <c r="G265" s="116">
        <v>300</v>
      </c>
    </row>
    <row r="266" spans="1:7" s="39" customFormat="1" ht="36" x14ac:dyDescent="0.2">
      <c r="A266" s="80" t="s">
        <v>18</v>
      </c>
      <c r="B266" s="24" t="s">
        <v>30</v>
      </c>
      <c r="C266" s="24"/>
      <c r="D266" s="24"/>
      <c r="E266" s="24"/>
      <c r="F266" s="35">
        <f t="shared" ref="F266:G269" si="40">F267</f>
        <v>300</v>
      </c>
      <c r="G266" s="35">
        <f t="shared" si="40"/>
        <v>300</v>
      </c>
    </row>
    <row r="267" spans="1:7" s="39" customFormat="1" ht="15" x14ac:dyDescent="0.2">
      <c r="A267" s="61" t="s">
        <v>655</v>
      </c>
      <c r="B267" s="24" t="s">
        <v>30</v>
      </c>
      <c r="C267" s="24" t="s">
        <v>216</v>
      </c>
      <c r="D267" s="24"/>
      <c r="E267" s="24"/>
      <c r="F267" s="35">
        <f t="shared" si="40"/>
        <v>300</v>
      </c>
      <c r="G267" s="35">
        <f t="shared" si="40"/>
        <v>300</v>
      </c>
    </row>
    <row r="268" spans="1:7" s="39" customFormat="1" ht="15" x14ac:dyDescent="0.2">
      <c r="A268" s="61" t="s">
        <v>698</v>
      </c>
      <c r="B268" s="24" t="s">
        <v>30</v>
      </c>
      <c r="C268" s="24" t="s">
        <v>216</v>
      </c>
      <c r="D268" s="24" t="s">
        <v>823</v>
      </c>
      <c r="E268" s="24"/>
      <c r="F268" s="35">
        <f t="shared" si="40"/>
        <v>300</v>
      </c>
      <c r="G268" s="35">
        <f t="shared" si="40"/>
        <v>300</v>
      </c>
    </row>
    <row r="269" spans="1:7" s="39" customFormat="1" ht="15" x14ac:dyDescent="0.2">
      <c r="A269" s="84" t="s">
        <v>473</v>
      </c>
      <c r="B269" s="30" t="s">
        <v>30</v>
      </c>
      <c r="C269" s="30" t="s">
        <v>216</v>
      </c>
      <c r="D269" s="30" t="s">
        <v>823</v>
      </c>
      <c r="E269" s="30" t="s">
        <v>226</v>
      </c>
      <c r="F269" s="116">
        <f t="shared" si="40"/>
        <v>300</v>
      </c>
      <c r="G269" s="116">
        <f t="shared" si="40"/>
        <v>300</v>
      </c>
    </row>
    <row r="270" spans="1:7" s="39" customFormat="1" ht="15" x14ac:dyDescent="0.2">
      <c r="A270" s="84" t="s">
        <v>227</v>
      </c>
      <c r="B270" s="30" t="s">
        <v>30</v>
      </c>
      <c r="C270" s="30" t="s">
        <v>216</v>
      </c>
      <c r="D270" s="30" t="s">
        <v>823</v>
      </c>
      <c r="E270" s="30" t="s">
        <v>228</v>
      </c>
      <c r="F270" s="116">
        <v>300</v>
      </c>
      <c r="G270" s="116">
        <v>300</v>
      </c>
    </row>
    <row r="271" spans="1:7" s="39" customFormat="1" ht="24" x14ac:dyDescent="0.2">
      <c r="A271" s="80" t="s">
        <v>19</v>
      </c>
      <c r="B271" s="24" t="s">
        <v>31</v>
      </c>
      <c r="C271" s="24"/>
      <c r="D271" s="24"/>
      <c r="E271" s="24"/>
      <c r="F271" s="35">
        <f t="shared" ref="F271:G274" si="41">F272</f>
        <v>400</v>
      </c>
      <c r="G271" s="35">
        <f t="shared" si="41"/>
        <v>400</v>
      </c>
    </row>
    <row r="272" spans="1:7" s="39" customFormat="1" ht="15" x14ac:dyDescent="0.2">
      <c r="A272" s="61" t="s">
        <v>655</v>
      </c>
      <c r="B272" s="24" t="s">
        <v>31</v>
      </c>
      <c r="C272" s="24" t="s">
        <v>216</v>
      </c>
      <c r="D272" s="24"/>
      <c r="E272" s="24"/>
      <c r="F272" s="35">
        <f t="shared" si="41"/>
        <v>400</v>
      </c>
      <c r="G272" s="35">
        <f t="shared" si="41"/>
        <v>400</v>
      </c>
    </row>
    <row r="273" spans="1:7" s="39" customFormat="1" ht="15" x14ac:dyDescent="0.2">
      <c r="A273" s="61" t="s">
        <v>698</v>
      </c>
      <c r="B273" s="24" t="s">
        <v>31</v>
      </c>
      <c r="C273" s="24" t="s">
        <v>216</v>
      </c>
      <c r="D273" s="24" t="s">
        <v>823</v>
      </c>
      <c r="E273" s="24"/>
      <c r="F273" s="35">
        <f t="shared" si="41"/>
        <v>400</v>
      </c>
      <c r="G273" s="35">
        <f t="shared" si="41"/>
        <v>400</v>
      </c>
    </row>
    <row r="274" spans="1:7" s="39" customFormat="1" ht="15" x14ac:dyDescent="0.2">
      <c r="A274" s="84" t="s">
        <v>473</v>
      </c>
      <c r="B274" s="30" t="s">
        <v>31</v>
      </c>
      <c r="C274" s="30" t="s">
        <v>216</v>
      </c>
      <c r="D274" s="30" t="s">
        <v>823</v>
      </c>
      <c r="E274" s="30" t="s">
        <v>226</v>
      </c>
      <c r="F274" s="116">
        <f t="shared" si="41"/>
        <v>400</v>
      </c>
      <c r="G274" s="116">
        <f t="shared" si="41"/>
        <v>400</v>
      </c>
    </row>
    <row r="275" spans="1:7" s="39" customFormat="1" ht="15" x14ac:dyDescent="0.2">
      <c r="A275" s="84" t="s">
        <v>227</v>
      </c>
      <c r="B275" s="30" t="s">
        <v>31</v>
      </c>
      <c r="C275" s="30" t="s">
        <v>216</v>
      </c>
      <c r="D275" s="30" t="s">
        <v>823</v>
      </c>
      <c r="E275" s="30" t="s">
        <v>228</v>
      </c>
      <c r="F275" s="116">
        <v>400</v>
      </c>
      <c r="G275" s="116">
        <v>400</v>
      </c>
    </row>
    <row r="276" spans="1:7" s="39" customFormat="1" ht="24" x14ac:dyDescent="0.2">
      <c r="A276" s="80" t="s">
        <v>27</v>
      </c>
      <c r="B276" s="24" t="s">
        <v>32</v>
      </c>
      <c r="C276" s="24"/>
      <c r="D276" s="24"/>
      <c r="E276" s="24"/>
      <c r="F276" s="35">
        <f t="shared" ref="F276:G279" si="42">F277</f>
        <v>300</v>
      </c>
      <c r="G276" s="35">
        <f t="shared" si="42"/>
        <v>300</v>
      </c>
    </row>
    <row r="277" spans="1:7" s="39" customFormat="1" ht="15" x14ac:dyDescent="0.2">
      <c r="A277" s="61" t="s">
        <v>655</v>
      </c>
      <c r="B277" s="24" t="s">
        <v>32</v>
      </c>
      <c r="C277" s="24" t="s">
        <v>216</v>
      </c>
      <c r="D277" s="24"/>
      <c r="E277" s="24"/>
      <c r="F277" s="35">
        <f t="shared" si="42"/>
        <v>300</v>
      </c>
      <c r="G277" s="35">
        <f t="shared" si="42"/>
        <v>300</v>
      </c>
    </row>
    <row r="278" spans="1:7" s="39" customFormat="1" ht="15" x14ac:dyDescent="0.2">
      <c r="A278" s="61" t="s">
        <v>698</v>
      </c>
      <c r="B278" s="24" t="s">
        <v>32</v>
      </c>
      <c r="C278" s="24" t="s">
        <v>216</v>
      </c>
      <c r="D278" s="24" t="s">
        <v>823</v>
      </c>
      <c r="E278" s="24"/>
      <c r="F278" s="35">
        <f t="shared" si="42"/>
        <v>300</v>
      </c>
      <c r="G278" s="35">
        <f t="shared" si="42"/>
        <v>300</v>
      </c>
    </row>
    <row r="279" spans="1:7" s="39" customFormat="1" ht="15" x14ac:dyDescent="0.2">
      <c r="A279" s="84" t="s">
        <v>473</v>
      </c>
      <c r="B279" s="30" t="s">
        <v>32</v>
      </c>
      <c r="C279" s="30" t="s">
        <v>216</v>
      </c>
      <c r="D279" s="30" t="s">
        <v>823</v>
      </c>
      <c r="E279" s="30" t="s">
        <v>226</v>
      </c>
      <c r="F279" s="116">
        <f t="shared" si="42"/>
        <v>300</v>
      </c>
      <c r="G279" s="116">
        <f t="shared" si="42"/>
        <v>300</v>
      </c>
    </row>
    <row r="280" spans="1:7" s="39" customFormat="1" ht="15" x14ac:dyDescent="0.2">
      <c r="A280" s="84" t="s">
        <v>227</v>
      </c>
      <c r="B280" s="30" t="s">
        <v>32</v>
      </c>
      <c r="C280" s="30" t="s">
        <v>216</v>
      </c>
      <c r="D280" s="30" t="s">
        <v>823</v>
      </c>
      <c r="E280" s="30" t="s">
        <v>228</v>
      </c>
      <c r="F280" s="116">
        <v>300</v>
      </c>
      <c r="G280" s="116">
        <v>300</v>
      </c>
    </row>
    <row r="281" spans="1:7" s="39" customFormat="1" ht="27" x14ac:dyDescent="0.2">
      <c r="A281" s="152" t="s">
        <v>469</v>
      </c>
      <c r="B281" s="157" t="s">
        <v>406</v>
      </c>
      <c r="C281" s="154"/>
      <c r="D281" s="154"/>
      <c r="E281" s="155"/>
      <c r="F281" s="162">
        <f t="shared" ref="F281:G285" si="43">F282</f>
        <v>1720</v>
      </c>
      <c r="G281" s="162">
        <f t="shared" si="43"/>
        <v>0</v>
      </c>
    </row>
    <row r="282" spans="1:7" s="39" customFormat="1" ht="24" x14ac:dyDescent="0.2">
      <c r="A282" s="80" t="s">
        <v>423</v>
      </c>
      <c r="B282" s="43" t="s">
        <v>193</v>
      </c>
      <c r="C282" s="24"/>
      <c r="D282" s="24"/>
      <c r="E282" s="37"/>
      <c r="F282" s="117">
        <f t="shared" si="43"/>
        <v>1720</v>
      </c>
      <c r="G282" s="117">
        <f t="shared" si="43"/>
        <v>0</v>
      </c>
    </row>
    <row r="283" spans="1:7" s="39" customFormat="1" ht="15" x14ac:dyDescent="0.2">
      <c r="A283" s="74" t="s">
        <v>256</v>
      </c>
      <c r="B283" s="43" t="s">
        <v>193</v>
      </c>
      <c r="C283" s="24" t="s">
        <v>214</v>
      </c>
      <c r="D283" s="24"/>
      <c r="E283" s="37"/>
      <c r="F283" s="117">
        <f t="shared" si="43"/>
        <v>1720</v>
      </c>
      <c r="G283" s="117">
        <f t="shared" si="43"/>
        <v>0</v>
      </c>
    </row>
    <row r="284" spans="1:7" s="39" customFormat="1" ht="15" x14ac:dyDescent="0.2">
      <c r="A284" s="74" t="s">
        <v>726</v>
      </c>
      <c r="B284" s="43" t="s">
        <v>193</v>
      </c>
      <c r="C284" s="24" t="s">
        <v>214</v>
      </c>
      <c r="D284" s="24" t="s">
        <v>235</v>
      </c>
      <c r="E284" s="37"/>
      <c r="F284" s="117">
        <f t="shared" si="43"/>
        <v>1720</v>
      </c>
      <c r="G284" s="117">
        <f t="shared" si="43"/>
        <v>0</v>
      </c>
    </row>
    <row r="285" spans="1:7" s="39" customFormat="1" ht="15" x14ac:dyDescent="0.2">
      <c r="A285" s="84" t="s">
        <v>473</v>
      </c>
      <c r="B285" s="40" t="s">
        <v>193</v>
      </c>
      <c r="C285" s="30" t="s">
        <v>214</v>
      </c>
      <c r="D285" s="30" t="s">
        <v>235</v>
      </c>
      <c r="E285" s="31">
        <v>200</v>
      </c>
      <c r="F285" s="118">
        <f t="shared" si="43"/>
        <v>1720</v>
      </c>
      <c r="G285" s="118">
        <f t="shared" si="43"/>
        <v>0</v>
      </c>
    </row>
    <row r="286" spans="1:7" s="39" customFormat="1" ht="15" x14ac:dyDescent="0.2">
      <c r="A286" s="84" t="s">
        <v>227</v>
      </c>
      <c r="B286" s="40" t="s">
        <v>193</v>
      </c>
      <c r="C286" s="30" t="s">
        <v>214</v>
      </c>
      <c r="D286" s="30" t="s">
        <v>235</v>
      </c>
      <c r="E286" s="31">
        <v>240</v>
      </c>
      <c r="F286" s="118">
        <v>1720</v>
      </c>
      <c r="G286" s="118">
        <v>0</v>
      </c>
    </row>
    <row r="287" spans="1:7" s="39" customFormat="1" ht="27" x14ac:dyDescent="0.2">
      <c r="A287" s="152" t="s">
        <v>831</v>
      </c>
      <c r="B287" s="154" t="s">
        <v>323</v>
      </c>
      <c r="C287" s="163"/>
      <c r="D287" s="163"/>
      <c r="E287" s="163"/>
      <c r="F287" s="156">
        <f>F288+F331+F356+F379</f>
        <v>2360836.7000000002</v>
      </c>
      <c r="G287" s="156">
        <f>G288+G331+G356+G379</f>
        <v>2319087.6</v>
      </c>
    </row>
    <row r="288" spans="1:7" s="39" customFormat="1" ht="15" x14ac:dyDescent="0.2">
      <c r="A288" s="80" t="s">
        <v>445</v>
      </c>
      <c r="B288" s="24" t="s">
        <v>324</v>
      </c>
      <c r="C288" s="24"/>
      <c r="D288" s="24"/>
      <c r="E288" s="24"/>
      <c r="F288" s="42">
        <f>F289+F295+F301+F307+F313+F319+F325</f>
        <v>2298642.5</v>
      </c>
      <c r="G288" s="42">
        <f>G289+G295+G301+G307+G313+G319+G325</f>
        <v>2257642.5</v>
      </c>
    </row>
    <row r="289" spans="1:7" s="39" customFormat="1" ht="24" x14ac:dyDescent="0.2">
      <c r="A289" s="80" t="s">
        <v>446</v>
      </c>
      <c r="B289" s="24" t="s">
        <v>325</v>
      </c>
      <c r="C289" s="24"/>
      <c r="D289" s="24"/>
      <c r="E289" s="24"/>
      <c r="F289" s="42">
        <f t="shared" ref="F289:G291" si="44">F290</f>
        <v>503446.5</v>
      </c>
      <c r="G289" s="42">
        <f t="shared" si="44"/>
        <v>503446.5</v>
      </c>
    </row>
    <row r="290" spans="1:7" s="39" customFormat="1" ht="15" x14ac:dyDescent="0.2">
      <c r="A290" s="61" t="s">
        <v>673</v>
      </c>
      <c r="B290" s="24" t="s">
        <v>832</v>
      </c>
      <c r="C290" s="24" t="s">
        <v>824</v>
      </c>
      <c r="D290" s="24"/>
      <c r="E290" s="25"/>
      <c r="F290" s="42">
        <f t="shared" si="44"/>
        <v>503446.5</v>
      </c>
      <c r="G290" s="42">
        <f t="shared" si="44"/>
        <v>503446.5</v>
      </c>
    </row>
    <row r="291" spans="1:7" s="39" customFormat="1" ht="15" x14ac:dyDescent="0.2">
      <c r="A291" s="66" t="s">
        <v>674</v>
      </c>
      <c r="B291" s="24" t="s">
        <v>832</v>
      </c>
      <c r="C291" s="24" t="s">
        <v>824</v>
      </c>
      <c r="D291" s="24" t="s">
        <v>214</v>
      </c>
      <c r="E291" s="25"/>
      <c r="F291" s="42">
        <f t="shared" si="44"/>
        <v>503446.5</v>
      </c>
      <c r="G291" s="42">
        <f t="shared" si="44"/>
        <v>503446.5</v>
      </c>
    </row>
    <row r="292" spans="1:7" s="39" customFormat="1" ht="24" x14ac:dyDescent="0.2">
      <c r="A292" s="84" t="s">
        <v>246</v>
      </c>
      <c r="B292" s="30" t="s">
        <v>832</v>
      </c>
      <c r="C292" s="30" t="s">
        <v>824</v>
      </c>
      <c r="D292" s="30" t="s">
        <v>214</v>
      </c>
      <c r="E292" s="30" t="s">
        <v>702</v>
      </c>
      <c r="F292" s="41">
        <f>F293+F294</f>
        <v>503446.5</v>
      </c>
      <c r="G292" s="41">
        <f>G293+G294</f>
        <v>503446.5</v>
      </c>
    </row>
    <row r="293" spans="1:7" s="39" customFormat="1" ht="15" x14ac:dyDescent="0.2">
      <c r="A293" s="84" t="s">
        <v>247</v>
      </c>
      <c r="B293" s="30" t="s">
        <v>832</v>
      </c>
      <c r="C293" s="30" t="s">
        <v>824</v>
      </c>
      <c r="D293" s="30" t="s">
        <v>214</v>
      </c>
      <c r="E293" s="30" t="s">
        <v>724</v>
      </c>
      <c r="F293" s="41">
        <v>470668.5</v>
      </c>
      <c r="G293" s="41">
        <v>470668.5</v>
      </c>
    </row>
    <row r="294" spans="1:7" s="39" customFormat="1" ht="15" x14ac:dyDescent="0.2">
      <c r="A294" s="84" t="s">
        <v>108</v>
      </c>
      <c r="B294" s="30" t="s">
        <v>832</v>
      </c>
      <c r="C294" s="30" t="s">
        <v>824</v>
      </c>
      <c r="D294" s="30" t="s">
        <v>214</v>
      </c>
      <c r="E294" s="30" t="s">
        <v>109</v>
      </c>
      <c r="F294" s="41">
        <v>32778</v>
      </c>
      <c r="G294" s="41">
        <v>32778</v>
      </c>
    </row>
    <row r="295" spans="1:7" s="39" customFormat="1" ht="36" x14ac:dyDescent="0.2">
      <c r="A295" s="80" t="s">
        <v>656</v>
      </c>
      <c r="B295" s="24" t="s">
        <v>326</v>
      </c>
      <c r="C295" s="24"/>
      <c r="D295" s="24"/>
      <c r="E295" s="24"/>
      <c r="F295" s="42">
        <f t="shared" ref="F295:G297" si="45">F296</f>
        <v>580000</v>
      </c>
      <c r="G295" s="42">
        <f t="shared" si="45"/>
        <v>562000</v>
      </c>
    </row>
    <row r="296" spans="1:7" s="39" customFormat="1" ht="15" x14ac:dyDescent="0.2">
      <c r="A296" s="61" t="s">
        <v>673</v>
      </c>
      <c r="B296" s="24" t="s">
        <v>326</v>
      </c>
      <c r="C296" s="24" t="s">
        <v>824</v>
      </c>
      <c r="D296" s="24"/>
      <c r="E296" s="25"/>
      <c r="F296" s="42">
        <f t="shared" si="45"/>
        <v>580000</v>
      </c>
      <c r="G296" s="42">
        <f t="shared" si="45"/>
        <v>562000</v>
      </c>
    </row>
    <row r="297" spans="1:7" s="39" customFormat="1" ht="15" x14ac:dyDescent="0.2">
      <c r="A297" s="66" t="s">
        <v>674</v>
      </c>
      <c r="B297" s="24" t="s">
        <v>326</v>
      </c>
      <c r="C297" s="24" t="s">
        <v>824</v>
      </c>
      <c r="D297" s="24" t="s">
        <v>214</v>
      </c>
      <c r="E297" s="25"/>
      <c r="F297" s="42">
        <f t="shared" si="45"/>
        <v>580000</v>
      </c>
      <c r="G297" s="42">
        <f t="shared" si="45"/>
        <v>562000</v>
      </c>
    </row>
    <row r="298" spans="1:7" s="39" customFormat="1" ht="24" x14ac:dyDescent="0.2">
      <c r="A298" s="84" t="s">
        <v>246</v>
      </c>
      <c r="B298" s="30" t="s">
        <v>326</v>
      </c>
      <c r="C298" s="30" t="s">
        <v>824</v>
      </c>
      <c r="D298" s="30" t="s">
        <v>214</v>
      </c>
      <c r="E298" s="30" t="s">
        <v>702</v>
      </c>
      <c r="F298" s="41">
        <f>F299+F300</f>
        <v>580000</v>
      </c>
      <c r="G298" s="41">
        <f>G299+G300</f>
        <v>562000</v>
      </c>
    </row>
    <row r="299" spans="1:7" s="39" customFormat="1" ht="15" x14ac:dyDescent="0.2">
      <c r="A299" s="84" t="s">
        <v>247</v>
      </c>
      <c r="B299" s="30" t="s">
        <v>326</v>
      </c>
      <c r="C299" s="30" t="s">
        <v>824</v>
      </c>
      <c r="D299" s="30" t="s">
        <v>214</v>
      </c>
      <c r="E299" s="30" t="s">
        <v>724</v>
      </c>
      <c r="F299" s="41">
        <v>543885</v>
      </c>
      <c r="G299" s="41">
        <v>527400</v>
      </c>
    </row>
    <row r="300" spans="1:7" s="39" customFormat="1" ht="15" x14ac:dyDescent="0.2">
      <c r="A300" s="84" t="s">
        <v>108</v>
      </c>
      <c r="B300" s="30" t="s">
        <v>326</v>
      </c>
      <c r="C300" s="30" t="s">
        <v>824</v>
      </c>
      <c r="D300" s="30" t="s">
        <v>214</v>
      </c>
      <c r="E300" s="30" t="s">
        <v>109</v>
      </c>
      <c r="F300" s="41">
        <v>36115</v>
      </c>
      <c r="G300" s="41">
        <v>34600</v>
      </c>
    </row>
    <row r="301" spans="1:7" s="39" customFormat="1" ht="24" x14ac:dyDescent="0.2">
      <c r="A301" s="80" t="s">
        <v>447</v>
      </c>
      <c r="B301" s="24" t="s">
        <v>329</v>
      </c>
      <c r="C301" s="24"/>
      <c r="D301" s="24"/>
      <c r="E301" s="24"/>
      <c r="F301" s="42">
        <f t="shared" ref="F301:G303" si="46">F302</f>
        <v>279467.8</v>
      </c>
      <c r="G301" s="42">
        <f t="shared" si="46"/>
        <v>279467.8</v>
      </c>
    </row>
    <row r="302" spans="1:7" s="39" customFormat="1" ht="15" x14ac:dyDescent="0.2">
      <c r="A302" s="61" t="s">
        <v>673</v>
      </c>
      <c r="B302" s="24" t="s">
        <v>833</v>
      </c>
      <c r="C302" s="24" t="s">
        <v>824</v>
      </c>
      <c r="D302" s="24"/>
      <c r="E302" s="25"/>
      <c r="F302" s="42">
        <f t="shared" si="46"/>
        <v>279467.8</v>
      </c>
      <c r="G302" s="42">
        <f t="shared" si="46"/>
        <v>279467.8</v>
      </c>
    </row>
    <row r="303" spans="1:7" s="39" customFormat="1" ht="15" x14ac:dyDescent="0.2">
      <c r="A303" s="80" t="s">
        <v>675</v>
      </c>
      <c r="B303" s="24" t="s">
        <v>833</v>
      </c>
      <c r="C303" s="24" t="s">
        <v>824</v>
      </c>
      <c r="D303" s="24" t="s">
        <v>825</v>
      </c>
      <c r="E303" s="25"/>
      <c r="F303" s="42">
        <f t="shared" si="46"/>
        <v>279467.8</v>
      </c>
      <c r="G303" s="42">
        <f t="shared" si="46"/>
        <v>279467.8</v>
      </c>
    </row>
    <row r="304" spans="1:7" s="39" customFormat="1" ht="24" x14ac:dyDescent="0.2">
      <c r="A304" s="84" t="s">
        <v>246</v>
      </c>
      <c r="B304" s="30" t="s">
        <v>833</v>
      </c>
      <c r="C304" s="30" t="s">
        <v>824</v>
      </c>
      <c r="D304" s="30" t="s">
        <v>825</v>
      </c>
      <c r="E304" s="30" t="s">
        <v>702</v>
      </c>
      <c r="F304" s="41">
        <f>F305+F306</f>
        <v>279467.8</v>
      </c>
      <c r="G304" s="41">
        <f>G305+G306</f>
        <v>279467.8</v>
      </c>
    </row>
    <row r="305" spans="1:7" s="39" customFormat="1" ht="15" x14ac:dyDescent="0.2">
      <c r="A305" s="84" t="s">
        <v>247</v>
      </c>
      <c r="B305" s="30" t="s">
        <v>833</v>
      </c>
      <c r="C305" s="30" t="s">
        <v>824</v>
      </c>
      <c r="D305" s="30" t="s">
        <v>825</v>
      </c>
      <c r="E305" s="30" t="s">
        <v>724</v>
      </c>
      <c r="F305" s="41">
        <f>282913.8-13100</f>
        <v>269813.8</v>
      </c>
      <c r="G305" s="41">
        <f>282913.8-13100</f>
        <v>269813.8</v>
      </c>
    </row>
    <row r="306" spans="1:7" s="39" customFormat="1" ht="15" x14ac:dyDescent="0.2">
      <c r="A306" s="84" t="s">
        <v>108</v>
      </c>
      <c r="B306" s="30" t="s">
        <v>833</v>
      </c>
      <c r="C306" s="30" t="s">
        <v>824</v>
      </c>
      <c r="D306" s="30" t="s">
        <v>825</v>
      </c>
      <c r="E306" s="30" t="s">
        <v>109</v>
      </c>
      <c r="F306" s="41">
        <v>9654</v>
      </c>
      <c r="G306" s="41">
        <v>9654</v>
      </c>
    </row>
    <row r="307" spans="1:7" s="39" customFormat="1" ht="48" x14ac:dyDescent="0.2">
      <c r="A307" s="61" t="s">
        <v>664</v>
      </c>
      <c r="B307" s="24" t="s">
        <v>448</v>
      </c>
      <c r="C307" s="24"/>
      <c r="D307" s="24"/>
      <c r="E307" s="24"/>
      <c r="F307" s="42">
        <f t="shared" ref="F307:G309" si="47">F308</f>
        <v>738000</v>
      </c>
      <c r="G307" s="42">
        <f t="shared" si="47"/>
        <v>715000</v>
      </c>
    </row>
    <row r="308" spans="1:7" s="39" customFormat="1" ht="15" x14ac:dyDescent="0.2">
      <c r="A308" s="61" t="s">
        <v>673</v>
      </c>
      <c r="B308" s="24" t="s">
        <v>448</v>
      </c>
      <c r="C308" s="24" t="s">
        <v>824</v>
      </c>
      <c r="D308" s="24"/>
      <c r="E308" s="25"/>
      <c r="F308" s="42">
        <f t="shared" si="47"/>
        <v>738000</v>
      </c>
      <c r="G308" s="42">
        <f t="shared" si="47"/>
        <v>715000</v>
      </c>
    </row>
    <row r="309" spans="1:7" s="39" customFormat="1" ht="15" x14ac:dyDescent="0.2">
      <c r="A309" s="80" t="s">
        <v>675</v>
      </c>
      <c r="B309" s="24" t="s">
        <v>448</v>
      </c>
      <c r="C309" s="24" t="s">
        <v>824</v>
      </c>
      <c r="D309" s="24" t="s">
        <v>825</v>
      </c>
      <c r="E309" s="25"/>
      <c r="F309" s="42">
        <f t="shared" si="47"/>
        <v>738000</v>
      </c>
      <c r="G309" s="42">
        <f t="shared" si="47"/>
        <v>715000</v>
      </c>
    </row>
    <row r="310" spans="1:7" s="39" customFormat="1" ht="24" x14ac:dyDescent="0.2">
      <c r="A310" s="84" t="s">
        <v>246</v>
      </c>
      <c r="B310" s="30" t="s">
        <v>448</v>
      </c>
      <c r="C310" s="30" t="s">
        <v>824</v>
      </c>
      <c r="D310" s="30" t="s">
        <v>825</v>
      </c>
      <c r="E310" s="30" t="s">
        <v>702</v>
      </c>
      <c r="F310" s="41">
        <f>F311+F312</f>
        <v>738000</v>
      </c>
      <c r="G310" s="41">
        <f>G311+G312</f>
        <v>715000</v>
      </c>
    </row>
    <row r="311" spans="1:7" s="39" customFormat="1" ht="15" x14ac:dyDescent="0.2">
      <c r="A311" s="84" t="s">
        <v>247</v>
      </c>
      <c r="B311" s="30" t="s">
        <v>448</v>
      </c>
      <c r="C311" s="30" t="s">
        <v>824</v>
      </c>
      <c r="D311" s="30" t="s">
        <v>825</v>
      </c>
      <c r="E311" s="30" t="s">
        <v>724</v>
      </c>
      <c r="F311" s="41">
        <v>703200</v>
      </c>
      <c r="G311" s="41">
        <v>680200</v>
      </c>
    </row>
    <row r="312" spans="1:7" s="39" customFormat="1" ht="15" x14ac:dyDescent="0.2">
      <c r="A312" s="84" t="s">
        <v>108</v>
      </c>
      <c r="B312" s="30" t="s">
        <v>448</v>
      </c>
      <c r="C312" s="30" t="s">
        <v>824</v>
      </c>
      <c r="D312" s="30" t="s">
        <v>825</v>
      </c>
      <c r="E312" s="30" t="s">
        <v>109</v>
      </c>
      <c r="F312" s="41">
        <v>34800</v>
      </c>
      <c r="G312" s="41">
        <v>34800</v>
      </c>
    </row>
    <row r="313" spans="1:7" s="39" customFormat="1" ht="24" x14ac:dyDescent="0.2">
      <c r="A313" s="80" t="s">
        <v>450</v>
      </c>
      <c r="B313" s="24" t="s">
        <v>330</v>
      </c>
      <c r="C313" s="24"/>
      <c r="D313" s="24"/>
      <c r="E313" s="24"/>
      <c r="F313" s="42">
        <f t="shared" ref="F313:G315" si="48">F314</f>
        <v>97634.2</v>
      </c>
      <c r="G313" s="42">
        <f t="shared" si="48"/>
        <v>97634.2</v>
      </c>
    </row>
    <row r="314" spans="1:7" s="39" customFormat="1" ht="15" x14ac:dyDescent="0.2">
      <c r="A314" s="61" t="s">
        <v>673</v>
      </c>
      <c r="B314" s="24" t="s">
        <v>836</v>
      </c>
      <c r="C314" s="24" t="s">
        <v>824</v>
      </c>
      <c r="D314" s="24"/>
      <c r="E314" s="25"/>
      <c r="F314" s="42">
        <f t="shared" si="48"/>
        <v>97634.2</v>
      </c>
      <c r="G314" s="42">
        <f t="shared" si="48"/>
        <v>97634.2</v>
      </c>
    </row>
    <row r="315" spans="1:7" s="39" customFormat="1" ht="15" x14ac:dyDescent="0.2">
      <c r="A315" s="80" t="s">
        <v>449</v>
      </c>
      <c r="B315" s="24" t="s">
        <v>836</v>
      </c>
      <c r="C315" s="24" t="s">
        <v>824</v>
      </c>
      <c r="D315" s="24" t="s">
        <v>817</v>
      </c>
      <c r="E315" s="25"/>
      <c r="F315" s="42">
        <f t="shared" si="48"/>
        <v>97634.2</v>
      </c>
      <c r="G315" s="42">
        <f t="shared" si="48"/>
        <v>97634.2</v>
      </c>
    </row>
    <row r="316" spans="1:7" s="39" customFormat="1" ht="24" x14ac:dyDescent="0.2">
      <c r="A316" s="84" t="s">
        <v>246</v>
      </c>
      <c r="B316" s="30" t="s">
        <v>836</v>
      </c>
      <c r="C316" s="30" t="s">
        <v>824</v>
      </c>
      <c r="D316" s="30" t="s">
        <v>817</v>
      </c>
      <c r="E316" s="30" t="s">
        <v>702</v>
      </c>
      <c r="F316" s="41">
        <f>F317+F318</f>
        <v>97634.2</v>
      </c>
      <c r="G316" s="41">
        <f>G317+G318</f>
        <v>97634.2</v>
      </c>
    </row>
    <row r="317" spans="1:7" s="39" customFormat="1" ht="15" x14ac:dyDescent="0.2">
      <c r="A317" s="84" t="s">
        <v>247</v>
      </c>
      <c r="B317" s="30" t="s">
        <v>836</v>
      </c>
      <c r="C317" s="30" t="s">
        <v>824</v>
      </c>
      <c r="D317" s="30" t="s">
        <v>817</v>
      </c>
      <c r="E317" s="30" t="s">
        <v>724</v>
      </c>
      <c r="F317" s="41">
        <v>2873</v>
      </c>
      <c r="G317" s="41">
        <v>2873</v>
      </c>
    </row>
    <row r="318" spans="1:7" s="39" customFormat="1" ht="15" x14ac:dyDescent="0.2">
      <c r="A318" s="84" t="s">
        <v>108</v>
      </c>
      <c r="B318" s="30" t="s">
        <v>836</v>
      </c>
      <c r="C318" s="30" t="s">
        <v>824</v>
      </c>
      <c r="D318" s="30" t="s">
        <v>817</v>
      </c>
      <c r="E318" s="30" t="s">
        <v>109</v>
      </c>
      <c r="F318" s="41">
        <v>94761.2</v>
      </c>
      <c r="G318" s="41">
        <v>94761.2</v>
      </c>
    </row>
    <row r="319" spans="1:7" s="39" customFormat="1" ht="24" x14ac:dyDescent="0.2">
      <c r="A319" s="80" t="s">
        <v>452</v>
      </c>
      <c r="B319" s="24" t="s">
        <v>451</v>
      </c>
      <c r="C319" s="24"/>
      <c r="D319" s="24"/>
      <c r="E319" s="24"/>
      <c r="F319" s="42">
        <f t="shared" ref="F319:G321" si="49">F320</f>
        <v>10000</v>
      </c>
      <c r="G319" s="42">
        <f t="shared" si="49"/>
        <v>10000</v>
      </c>
    </row>
    <row r="320" spans="1:7" s="39" customFormat="1" ht="15" x14ac:dyDescent="0.2">
      <c r="A320" s="61" t="s">
        <v>673</v>
      </c>
      <c r="B320" s="24" t="s">
        <v>837</v>
      </c>
      <c r="C320" s="24" t="s">
        <v>824</v>
      </c>
      <c r="D320" s="24"/>
      <c r="E320" s="25"/>
      <c r="F320" s="42">
        <f t="shared" si="49"/>
        <v>10000</v>
      </c>
      <c r="G320" s="42">
        <f t="shared" si="49"/>
        <v>10000</v>
      </c>
    </row>
    <row r="321" spans="1:7" s="39" customFormat="1" ht="15" x14ac:dyDescent="0.2">
      <c r="A321" s="80" t="s">
        <v>677</v>
      </c>
      <c r="B321" s="24" t="s">
        <v>837</v>
      </c>
      <c r="C321" s="24" t="s">
        <v>824</v>
      </c>
      <c r="D321" s="24" t="s">
        <v>818</v>
      </c>
      <c r="E321" s="25"/>
      <c r="F321" s="42">
        <f t="shared" si="49"/>
        <v>10000</v>
      </c>
      <c r="G321" s="42">
        <f t="shared" si="49"/>
        <v>10000</v>
      </c>
    </row>
    <row r="322" spans="1:7" s="39" customFormat="1" ht="24" x14ac:dyDescent="0.2">
      <c r="A322" s="84" t="s">
        <v>246</v>
      </c>
      <c r="B322" s="30" t="s">
        <v>837</v>
      </c>
      <c r="C322" s="30" t="s">
        <v>824</v>
      </c>
      <c r="D322" s="30" t="s">
        <v>818</v>
      </c>
      <c r="E322" s="30" t="s">
        <v>702</v>
      </c>
      <c r="F322" s="41">
        <f>F323+F324</f>
        <v>10000</v>
      </c>
      <c r="G322" s="41">
        <f>G323+G324</f>
        <v>10000</v>
      </c>
    </row>
    <row r="323" spans="1:7" s="39" customFormat="1" ht="15" x14ac:dyDescent="0.2">
      <c r="A323" s="84" t="s">
        <v>247</v>
      </c>
      <c r="B323" s="30" t="s">
        <v>837</v>
      </c>
      <c r="C323" s="30" t="s">
        <v>824</v>
      </c>
      <c r="D323" s="30" t="s">
        <v>818</v>
      </c>
      <c r="E323" s="30" t="s">
        <v>724</v>
      </c>
      <c r="F323" s="41">
        <v>9800</v>
      </c>
      <c r="G323" s="41">
        <v>9800</v>
      </c>
    </row>
    <row r="324" spans="1:7" s="39" customFormat="1" ht="15" x14ac:dyDescent="0.2">
      <c r="A324" s="84" t="s">
        <v>108</v>
      </c>
      <c r="B324" s="30" t="s">
        <v>837</v>
      </c>
      <c r="C324" s="30" t="s">
        <v>824</v>
      </c>
      <c r="D324" s="30" t="s">
        <v>818</v>
      </c>
      <c r="E324" s="30" t="s">
        <v>109</v>
      </c>
      <c r="F324" s="41">
        <v>200</v>
      </c>
      <c r="G324" s="41">
        <v>200</v>
      </c>
    </row>
    <row r="325" spans="1:7" s="39" customFormat="1" ht="24" x14ac:dyDescent="0.2">
      <c r="A325" s="80" t="s">
        <v>459</v>
      </c>
      <c r="B325" s="24" t="s">
        <v>453</v>
      </c>
      <c r="C325" s="30"/>
      <c r="D325" s="30"/>
      <c r="E325" s="24"/>
      <c r="F325" s="42">
        <f t="shared" ref="F325:G327" si="50">F326</f>
        <v>90094</v>
      </c>
      <c r="G325" s="42">
        <f t="shared" si="50"/>
        <v>90094</v>
      </c>
    </row>
    <row r="326" spans="1:7" s="39" customFormat="1" ht="15" x14ac:dyDescent="0.2">
      <c r="A326" s="61" t="s">
        <v>673</v>
      </c>
      <c r="B326" s="24" t="s">
        <v>838</v>
      </c>
      <c r="C326" s="24" t="s">
        <v>824</v>
      </c>
      <c r="D326" s="24"/>
      <c r="E326" s="25"/>
      <c r="F326" s="42">
        <f t="shared" si="50"/>
        <v>90094</v>
      </c>
      <c r="G326" s="42">
        <f t="shared" si="50"/>
        <v>90094</v>
      </c>
    </row>
    <row r="327" spans="1:7" s="39" customFormat="1" ht="15" x14ac:dyDescent="0.2">
      <c r="A327" s="80" t="s">
        <v>677</v>
      </c>
      <c r="B327" s="24" t="s">
        <v>838</v>
      </c>
      <c r="C327" s="24" t="s">
        <v>824</v>
      </c>
      <c r="D327" s="24" t="s">
        <v>818</v>
      </c>
      <c r="E327" s="25"/>
      <c r="F327" s="42">
        <f t="shared" si="50"/>
        <v>90094</v>
      </c>
      <c r="G327" s="42">
        <f t="shared" si="50"/>
        <v>90094</v>
      </c>
    </row>
    <row r="328" spans="1:7" s="39" customFormat="1" ht="24" x14ac:dyDescent="0.2">
      <c r="A328" s="84" t="s">
        <v>246</v>
      </c>
      <c r="B328" s="30" t="s">
        <v>838</v>
      </c>
      <c r="C328" s="30" t="s">
        <v>824</v>
      </c>
      <c r="D328" s="30" t="s">
        <v>818</v>
      </c>
      <c r="E328" s="30" t="s">
        <v>702</v>
      </c>
      <c r="F328" s="41">
        <f>F329+F330</f>
        <v>90094</v>
      </c>
      <c r="G328" s="41">
        <f>G329+G330</f>
        <v>90094</v>
      </c>
    </row>
    <row r="329" spans="1:7" s="39" customFormat="1" ht="15" x14ac:dyDescent="0.2">
      <c r="A329" s="84" t="s">
        <v>247</v>
      </c>
      <c r="B329" s="30" t="s">
        <v>838</v>
      </c>
      <c r="C329" s="30" t="s">
        <v>824</v>
      </c>
      <c r="D329" s="30" t="s">
        <v>818</v>
      </c>
      <c r="E329" s="30" t="s">
        <v>724</v>
      </c>
      <c r="F329" s="41">
        <f>95308.55-6780-4103</f>
        <v>84425.55</v>
      </c>
      <c r="G329" s="41">
        <f>95308.55-6780-4103</f>
        <v>84425.55</v>
      </c>
    </row>
    <row r="330" spans="1:7" s="39" customFormat="1" ht="15" x14ac:dyDescent="0.2">
      <c r="A330" s="84" t="s">
        <v>108</v>
      </c>
      <c r="B330" s="30" t="s">
        <v>838</v>
      </c>
      <c r="C330" s="30" t="s">
        <v>824</v>
      </c>
      <c r="D330" s="30" t="s">
        <v>818</v>
      </c>
      <c r="E330" s="30" t="s">
        <v>109</v>
      </c>
      <c r="F330" s="41">
        <f>6028.45-360</f>
        <v>5668.45</v>
      </c>
      <c r="G330" s="41">
        <f>6028.45-360</f>
        <v>5668.45</v>
      </c>
    </row>
    <row r="331" spans="1:7" s="39" customFormat="1" ht="15" x14ac:dyDescent="0.2">
      <c r="A331" s="80" t="s">
        <v>790</v>
      </c>
      <c r="B331" s="24" t="s">
        <v>331</v>
      </c>
      <c r="C331" s="24"/>
      <c r="D331" s="24"/>
      <c r="E331" s="24"/>
      <c r="F331" s="42">
        <f>F332+F342+F349</f>
        <v>6120</v>
      </c>
      <c r="G331" s="42">
        <f>G332+G342+G349</f>
        <v>6120</v>
      </c>
    </row>
    <row r="332" spans="1:7" s="39" customFormat="1" ht="25.5" x14ac:dyDescent="0.2">
      <c r="A332" s="68" t="s">
        <v>334</v>
      </c>
      <c r="B332" s="24" t="s">
        <v>289</v>
      </c>
      <c r="C332" s="24"/>
      <c r="D332" s="24"/>
      <c r="E332" s="25"/>
      <c r="F332" s="42">
        <f t="shared" ref="F332:G334" si="51">F333</f>
        <v>3785</v>
      </c>
      <c r="G332" s="42">
        <f t="shared" si="51"/>
        <v>3785</v>
      </c>
    </row>
    <row r="333" spans="1:7" s="39" customFormat="1" ht="15" x14ac:dyDescent="0.2">
      <c r="A333" s="80" t="s">
        <v>819</v>
      </c>
      <c r="B333" s="24" t="s">
        <v>839</v>
      </c>
      <c r="C333" s="24"/>
      <c r="D333" s="24"/>
      <c r="E333" s="24"/>
      <c r="F333" s="42">
        <f t="shared" si="51"/>
        <v>3785</v>
      </c>
      <c r="G333" s="42">
        <f t="shared" si="51"/>
        <v>3785</v>
      </c>
    </row>
    <row r="334" spans="1:7" s="39" customFormat="1" ht="15" x14ac:dyDescent="0.2">
      <c r="A334" s="61" t="s">
        <v>673</v>
      </c>
      <c r="B334" s="24" t="s">
        <v>839</v>
      </c>
      <c r="C334" s="24" t="s">
        <v>824</v>
      </c>
      <c r="D334" s="24"/>
      <c r="E334" s="25"/>
      <c r="F334" s="42">
        <f t="shared" si="51"/>
        <v>3785</v>
      </c>
      <c r="G334" s="42">
        <f t="shared" si="51"/>
        <v>3785</v>
      </c>
    </row>
    <row r="335" spans="1:7" s="39" customFormat="1" ht="15" x14ac:dyDescent="0.2">
      <c r="A335" s="80" t="s">
        <v>677</v>
      </c>
      <c r="B335" s="24" t="s">
        <v>839</v>
      </c>
      <c r="C335" s="24" t="s">
        <v>824</v>
      </c>
      <c r="D335" s="24" t="s">
        <v>818</v>
      </c>
      <c r="E335" s="25"/>
      <c r="F335" s="42">
        <f>F336+F338+F340</f>
        <v>3785</v>
      </c>
      <c r="G335" s="42">
        <f>G336+G338+G340</f>
        <v>3785</v>
      </c>
    </row>
    <row r="336" spans="1:7" s="39" customFormat="1" ht="36" x14ac:dyDescent="0.2">
      <c r="A336" s="84" t="s">
        <v>217</v>
      </c>
      <c r="B336" s="30" t="s">
        <v>839</v>
      </c>
      <c r="C336" s="30" t="s">
        <v>824</v>
      </c>
      <c r="D336" s="30" t="s">
        <v>818</v>
      </c>
      <c r="E336" s="30" t="s">
        <v>218</v>
      </c>
      <c r="F336" s="41">
        <f>F337</f>
        <v>3600</v>
      </c>
      <c r="G336" s="41">
        <f>G337</f>
        <v>3600</v>
      </c>
    </row>
    <row r="337" spans="1:7" s="39" customFormat="1" ht="15" x14ac:dyDescent="0.2">
      <c r="A337" s="84" t="s">
        <v>820</v>
      </c>
      <c r="B337" s="30" t="s">
        <v>839</v>
      </c>
      <c r="C337" s="30" t="s">
        <v>824</v>
      </c>
      <c r="D337" s="30" t="s">
        <v>818</v>
      </c>
      <c r="E337" s="30" t="s">
        <v>821</v>
      </c>
      <c r="F337" s="41">
        <f>2765+835</f>
        <v>3600</v>
      </c>
      <c r="G337" s="41">
        <f>2765+835</f>
        <v>3600</v>
      </c>
    </row>
    <row r="338" spans="1:7" s="39" customFormat="1" ht="15" x14ac:dyDescent="0.2">
      <c r="A338" s="84" t="s">
        <v>473</v>
      </c>
      <c r="B338" s="30" t="s">
        <v>839</v>
      </c>
      <c r="C338" s="30" t="s">
        <v>824</v>
      </c>
      <c r="D338" s="30" t="s">
        <v>818</v>
      </c>
      <c r="E338" s="30" t="s">
        <v>226</v>
      </c>
      <c r="F338" s="41">
        <f>F339</f>
        <v>180</v>
      </c>
      <c r="G338" s="41">
        <f>G339</f>
        <v>180</v>
      </c>
    </row>
    <row r="339" spans="1:7" s="39" customFormat="1" ht="15" x14ac:dyDescent="0.2">
      <c r="A339" s="84" t="s">
        <v>227</v>
      </c>
      <c r="B339" s="30" t="s">
        <v>839</v>
      </c>
      <c r="C339" s="30" t="s">
        <v>824</v>
      </c>
      <c r="D339" s="30" t="s">
        <v>818</v>
      </c>
      <c r="E339" s="30" t="s">
        <v>228</v>
      </c>
      <c r="F339" s="41">
        <v>180</v>
      </c>
      <c r="G339" s="41">
        <v>180</v>
      </c>
    </row>
    <row r="340" spans="1:7" s="39" customFormat="1" ht="15" x14ac:dyDescent="0.2">
      <c r="A340" s="84" t="s">
        <v>229</v>
      </c>
      <c r="B340" s="30" t="s">
        <v>839</v>
      </c>
      <c r="C340" s="30" t="s">
        <v>824</v>
      </c>
      <c r="D340" s="30" t="s">
        <v>818</v>
      </c>
      <c r="E340" s="30" t="s">
        <v>230</v>
      </c>
      <c r="F340" s="103">
        <f>F341</f>
        <v>5</v>
      </c>
      <c r="G340" s="103">
        <f>G341</f>
        <v>5</v>
      </c>
    </row>
    <row r="341" spans="1:7" s="39" customFormat="1" ht="15" x14ac:dyDescent="0.2">
      <c r="A341" s="84" t="s">
        <v>311</v>
      </c>
      <c r="B341" s="30" t="s">
        <v>839</v>
      </c>
      <c r="C341" s="30" t="s">
        <v>824</v>
      </c>
      <c r="D341" s="30" t="s">
        <v>818</v>
      </c>
      <c r="E341" s="30" t="s">
        <v>231</v>
      </c>
      <c r="F341" s="103">
        <v>5</v>
      </c>
      <c r="G341" s="103">
        <v>5</v>
      </c>
    </row>
    <row r="342" spans="1:7" s="39" customFormat="1" ht="24" x14ac:dyDescent="0.2">
      <c r="A342" s="75" t="s">
        <v>460</v>
      </c>
      <c r="B342" s="24" t="s">
        <v>840</v>
      </c>
      <c r="C342" s="24"/>
      <c r="D342" s="24"/>
      <c r="E342" s="24"/>
      <c r="F342" s="42">
        <f>F343</f>
        <v>1785</v>
      </c>
      <c r="G342" s="42">
        <f>G343</f>
        <v>1785</v>
      </c>
    </row>
    <row r="343" spans="1:7" s="39" customFormat="1" ht="15" x14ac:dyDescent="0.2">
      <c r="A343" s="61" t="s">
        <v>673</v>
      </c>
      <c r="B343" s="24" t="s">
        <v>840</v>
      </c>
      <c r="C343" s="24" t="s">
        <v>824</v>
      </c>
      <c r="D343" s="24"/>
      <c r="E343" s="25"/>
      <c r="F343" s="42">
        <f>F344</f>
        <v>1785</v>
      </c>
      <c r="G343" s="42">
        <f>G344</f>
        <v>1785</v>
      </c>
    </row>
    <row r="344" spans="1:7" s="39" customFormat="1" ht="15" x14ac:dyDescent="0.2">
      <c r="A344" s="80" t="s">
        <v>677</v>
      </c>
      <c r="B344" s="24" t="s">
        <v>840</v>
      </c>
      <c r="C344" s="24" t="s">
        <v>824</v>
      </c>
      <c r="D344" s="24" t="s">
        <v>818</v>
      </c>
      <c r="E344" s="25"/>
      <c r="F344" s="42">
        <f>F345+F347</f>
        <v>1785</v>
      </c>
      <c r="G344" s="42">
        <f>G345+G347</f>
        <v>1785</v>
      </c>
    </row>
    <row r="345" spans="1:7" s="39" customFormat="1" ht="36" x14ac:dyDescent="0.2">
      <c r="A345" s="84" t="s">
        <v>217</v>
      </c>
      <c r="B345" s="30" t="s">
        <v>840</v>
      </c>
      <c r="C345" s="30" t="s">
        <v>824</v>
      </c>
      <c r="D345" s="30" t="s">
        <v>818</v>
      </c>
      <c r="E345" s="30" t="s">
        <v>218</v>
      </c>
      <c r="F345" s="41">
        <f>F346</f>
        <v>250</v>
      </c>
      <c r="G345" s="41">
        <f>G346</f>
        <v>250</v>
      </c>
    </row>
    <row r="346" spans="1:7" s="39" customFormat="1" ht="15" x14ac:dyDescent="0.2">
      <c r="A346" s="84" t="s">
        <v>820</v>
      </c>
      <c r="B346" s="30" t="s">
        <v>840</v>
      </c>
      <c r="C346" s="30" t="s">
        <v>824</v>
      </c>
      <c r="D346" s="30" t="s">
        <v>818</v>
      </c>
      <c r="E346" s="30" t="s">
        <v>821</v>
      </c>
      <c r="F346" s="41">
        <v>250</v>
      </c>
      <c r="G346" s="41">
        <v>250</v>
      </c>
    </row>
    <row r="347" spans="1:7" s="39" customFormat="1" ht="15" x14ac:dyDescent="0.2">
      <c r="A347" s="84" t="s">
        <v>473</v>
      </c>
      <c r="B347" s="30" t="s">
        <v>840</v>
      </c>
      <c r="C347" s="30" t="s">
        <v>824</v>
      </c>
      <c r="D347" s="30" t="s">
        <v>818</v>
      </c>
      <c r="E347" s="30" t="s">
        <v>226</v>
      </c>
      <c r="F347" s="41">
        <f>F348</f>
        <v>1535</v>
      </c>
      <c r="G347" s="41">
        <f>G348</f>
        <v>1535</v>
      </c>
    </row>
    <row r="348" spans="1:7" s="39" customFormat="1" ht="15" x14ac:dyDescent="0.2">
      <c r="A348" s="84" t="s">
        <v>227</v>
      </c>
      <c r="B348" s="30" t="s">
        <v>840</v>
      </c>
      <c r="C348" s="30" t="s">
        <v>824</v>
      </c>
      <c r="D348" s="30" t="s">
        <v>818</v>
      </c>
      <c r="E348" s="30" t="s">
        <v>228</v>
      </c>
      <c r="F348" s="41">
        <v>1535</v>
      </c>
      <c r="G348" s="41">
        <v>1535</v>
      </c>
    </row>
    <row r="349" spans="1:7" s="39" customFormat="1" ht="48" x14ac:dyDescent="0.2">
      <c r="A349" s="75" t="s">
        <v>788</v>
      </c>
      <c r="B349" s="24" t="s">
        <v>841</v>
      </c>
      <c r="C349" s="24"/>
      <c r="D349" s="24"/>
      <c r="E349" s="24"/>
      <c r="F349" s="42">
        <f>F350</f>
        <v>550</v>
      </c>
      <c r="G349" s="42">
        <f>G350</f>
        <v>550</v>
      </c>
    </row>
    <row r="350" spans="1:7" s="39" customFormat="1" ht="15" x14ac:dyDescent="0.2">
      <c r="A350" s="61" t="s">
        <v>673</v>
      </c>
      <c r="B350" s="24" t="s">
        <v>841</v>
      </c>
      <c r="C350" s="24" t="s">
        <v>824</v>
      </c>
      <c r="D350" s="24"/>
      <c r="E350" s="25"/>
      <c r="F350" s="42">
        <f>F351</f>
        <v>550</v>
      </c>
      <c r="G350" s="42">
        <f>G351</f>
        <v>550</v>
      </c>
    </row>
    <row r="351" spans="1:7" s="39" customFormat="1" ht="15" x14ac:dyDescent="0.2">
      <c r="A351" s="80" t="s">
        <v>677</v>
      </c>
      <c r="B351" s="24" t="s">
        <v>841</v>
      </c>
      <c r="C351" s="24" t="s">
        <v>824</v>
      </c>
      <c r="D351" s="24" t="s">
        <v>818</v>
      </c>
      <c r="E351" s="25"/>
      <c r="F351" s="42">
        <f>F352+F354</f>
        <v>550</v>
      </c>
      <c r="G351" s="42">
        <f>G352+G354</f>
        <v>550</v>
      </c>
    </row>
    <row r="352" spans="1:7" s="39" customFormat="1" ht="36" x14ac:dyDescent="0.2">
      <c r="A352" s="84" t="s">
        <v>217</v>
      </c>
      <c r="B352" s="30" t="s">
        <v>841</v>
      </c>
      <c r="C352" s="30" t="s">
        <v>824</v>
      </c>
      <c r="D352" s="30" t="s">
        <v>818</v>
      </c>
      <c r="E352" s="30" t="s">
        <v>218</v>
      </c>
      <c r="F352" s="41">
        <f>F353</f>
        <v>250</v>
      </c>
      <c r="G352" s="41">
        <f>G353</f>
        <v>250</v>
      </c>
    </row>
    <row r="353" spans="1:7" s="39" customFormat="1" ht="15" x14ac:dyDescent="0.2">
      <c r="A353" s="84" t="s">
        <v>820</v>
      </c>
      <c r="B353" s="30" t="s">
        <v>841</v>
      </c>
      <c r="C353" s="30" t="s">
        <v>824</v>
      </c>
      <c r="D353" s="30" t="s">
        <v>818</v>
      </c>
      <c r="E353" s="30" t="s">
        <v>821</v>
      </c>
      <c r="F353" s="41">
        <v>250</v>
      </c>
      <c r="G353" s="41">
        <v>250</v>
      </c>
    </row>
    <row r="354" spans="1:7" s="39" customFormat="1" ht="15" x14ac:dyDescent="0.2">
      <c r="A354" s="84" t="s">
        <v>473</v>
      </c>
      <c r="B354" s="30" t="s">
        <v>841</v>
      </c>
      <c r="C354" s="30" t="s">
        <v>824</v>
      </c>
      <c r="D354" s="30" t="s">
        <v>818</v>
      </c>
      <c r="E354" s="30" t="s">
        <v>226</v>
      </c>
      <c r="F354" s="41">
        <f>F355</f>
        <v>300</v>
      </c>
      <c r="G354" s="41">
        <f>G355</f>
        <v>300</v>
      </c>
    </row>
    <row r="355" spans="1:7" s="39" customFormat="1" ht="15" x14ac:dyDescent="0.2">
      <c r="A355" s="84" t="s">
        <v>227</v>
      </c>
      <c r="B355" s="30" t="s">
        <v>841</v>
      </c>
      <c r="C355" s="30" t="s">
        <v>824</v>
      </c>
      <c r="D355" s="30" t="s">
        <v>818</v>
      </c>
      <c r="E355" s="30" t="s">
        <v>228</v>
      </c>
      <c r="F355" s="41">
        <v>300</v>
      </c>
      <c r="G355" s="41">
        <v>300</v>
      </c>
    </row>
    <row r="356" spans="1:7" s="39" customFormat="1" ht="15" x14ac:dyDescent="0.2">
      <c r="A356" s="80" t="s">
        <v>461</v>
      </c>
      <c r="B356" s="24" t="s">
        <v>332</v>
      </c>
      <c r="C356" s="24"/>
      <c r="D356" s="24"/>
      <c r="E356" s="24"/>
      <c r="F356" s="42">
        <f>F357+F363+F368+F374</f>
        <v>46448.2</v>
      </c>
      <c r="G356" s="42">
        <f>G357+G363+G368+G374</f>
        <v>45699.1</v>
      </c>
    </row>
    <row r="357" spans="1:7" s="39" customFormat="1" ht="36" x14ac:dyDescent="0.2">
      <c r="A357" s="80" t="s">
        <v>299</v>
      </c>
      <c r="B357" s="24" t="s">
        <v>463</v>
      </c>
      <c r="C357" s="24"/>
      <c r="D357" s="24"/>
      <c r="E357" s="24"/>
      <c r="F357" s="42">
        <f t="shared" ref="F357:G359" si="52">F358</f>
        <v>14348.2</v>
      </c>
      <c r="G357" s="42">
        <f t="shared" si="52"/>
        <v>13899.099999999999</v>
      </c>
    </row>
    <row r="358" spans="1:7" s="39" customFormat="1" ht="15" x14ac:dyDescent="0.2">
      <c r="A358" s="61" t="s">
        <v>700</v>
      </c>
      <c r="B358" s="24" t="s">
        <v>463</v>
      </c>
      <c r="C358" s="24" t="s">
        <v>107</v>
      </c>
      <c r="D358" s="24"/>
      <c r="E358" s="24"/>
      <c r="F358" s="42">
        <f t="shared" si="52"/>
        <v>14348.2</v>
      </c>
      <c r="G358" s="42">
        <f t="shared" si="52"/>
        <v>13899.099999999999</v>
      </c>
    </row>
    <row r="359" spans="1:7" s="39" customFormat="1" ht="15" x14ac:dyDescent="0.2">
      <c r="A359" s="80" t="s">
        <v>687</v>
      </c>
      <c r="B359" s="24" t="s">
        <v>463</v>
      </c>
      <c r="C359" s="24" t="s">
        <v>107</v>
      </c>
      <c r="D359" s="24" t="s">
        <v>817</v>
      </c>
      <c r="E359" s="24"/>
      <c r="F359" s="42">
        <f t="shared" si="52"/>
        <v>14348.2</v>
      </c>
      <c r="G359" s="42">
        <f t="shared" si="52"/>
        <v>13899.099999999999</v>
      </c>
    </row>
    <row r="360" spans="1:7" s="39" customFormat="1" ht="24" x14ac:dyDescent="0.2">
      <c r="A360" s="84" t="s">
        <v>246</v>
      </c>
      <c r="B360" s="30" t="s">
        <v>463</v>
      </c>
      <c r="C360" s="30" t="s">
        <v>107</v>
      </c>
      <c r="D360" s="30" t="s">
        <v>817</v>
      </c>
      <c r="E360" s="30" t="s">
        <v>702</v>
      </c>
      <c r="F360" s="41">
        <f>F361+F362</f>
        <v>14348.2</v>
      </c>
      <c r="G360" s="41">
        <f>G361+G362</f>
        <v>13899.099999999999</v>
      </c>
    </row>
    <row r="361" spans="1:7" s="39" customFormat="1" ht="15" x14ac:dyDescent="0.2">
      <c r="A361" s="84" t="s">
        <v>247</v>
      </c>
      <c r="B361" s="30" t="s">
        <v>463</v>
      </c>
      <c r="C361" s="30" t="s">
        <v>107</v>
      </c>
      <c r="D361" s="30" t="s">
        <v>817</v>
      </c>
      <c r="E361" s="30" t="s">
        <v>724</v>
      </c>
      <c r="F361" s="41">
        <v>13727.1</v>
      </c>
      <c r="G361" s="41">
        <v>13315.3</v>
      </c>
    </row>
    <row r="362" spans="1:7" s="39" customFormat="1" ht="15" x14ac:dyDescent="0.2">
      <c r="A362" s="84" t="s">
        <v>108</v>
      </c>
      <c r="B362" s="30" t="s">
        <v>463</v>
      </c>
      <c r="C362" s="30" t="s">
        <v>107</v>
      </c>
      <c r="D362" s="30" t="s">
        <v>817</v>
      </c>
      <c r="E362" s="30" t="s">
        <v>109</v>
      </c>
      <c r="F362" s="41">
        <v>621.1</v>
      </c>
      <c r="G362" s="41">
        <v>583.79999999999995</v>
      </c>
    </row>
    <row r="363" spans="1:7" s="39" customFormat="1" ht="24" x14ac:dyDescent="0.2">
      <c r="A363" s="75" t="s">
        <v>341</v>
      </c>
      <c r="B363" s="24" t="s">
        <v>842</v>
      </c>
      <c r="C363" s="24"/>
      <c r="D363" s="24"/>
      <c r="E363" s="24"/>
      <c r="F363" s="42">
        <f t="shared" ref="F363:G366" si="53">F364</f>
        <v>600</v>
      </c>
      <c r="G363" s="42">
        <f t="shared" si="53"/>
        <v>600</v>
      </c>
    </row>
    <row r="364" spans="1:7" s="39" customFormat="1" ht="15" x14ac:dyDescent="0.2">
      <c r="A364" s="61" t="s">
        <v>700</v>
      </c>
      <c r="B364" s="24" t="s">
        <v>842</v>
      </c>
      <c r="C364" s="24" t="s">
        <v>107</v>
      </c>
      <c r="D364" s="24"/>
      <c r="E364" s="24"/>
      <c r="F364" s="42">
        <f t="shared" si="53"/>
        <v>600</v>
      </c>
      <c r="G364" s="42">
        <f t="shared" si="53"/>
        <v>600</v>
      </c>
    </row>
    <row r="365" spans="1:7" s="39" customFormat="1" ht="15" x14ac:dyDescent="0.2">
      <c r="A365" s="80" t="s">
        <v>687</v>
      </c>
      <c r="B365" s="24" t="s">
        <v>842</v>
      </c>
      <c r="C365" s="24" t="s">
        <v>107</v>
      </c>
      <c r="D365" s="24" t="s">
        <v>817</v>
      </c>
      <c r="E365" s="24"/>
      <c r="F365" s="42">
        <f t="shared" si="53"/>
        <v>600</v>
      </c>
      <c r="G365" s="42">
        <f t="shared" si="53"/>
        <v>600</v>
      </c>
    </row>
    <row r="366" spans="1:7" s="39" customFormat="1" ht="15" x14ac:dyDescent="0.2">
      <c r="A366" s="84" t="s">
        <v>237</v>
      </c>
      <c r="B366" s="30" t="s">
        <v>842</v>
      </c>
      <c r="C366" s="30" t="s">
        <v>107</v>
      </c>
      <c r="D366" s="30" t="s">
        <v>817</v>
      </c>
      <c r="E366" s="30" t="s">
        <v>236</v>
      </c>
      <c r="F366" s="41">
        <f t="shared" si="53"/>
        <v>600</v>
      </c>
      <c r="G366" s="41">
        <f t="shared" si="53"/>
        <v>600</v>
      </c>
    </row>
    <row r="367" spans="1:7" s="39" customFormat="1" ht="15" x14ac:dyDescent="0.2">
      <c r="A367" s="84" t="s">
        <v>238</v>
      </c>
      <c r="B367" s="30" t="s">
        <v>842</v>
      </c>
      <c r="C367" s="30" t="s">
        <v>107</v>
      </c>
      <c r="D367" s="30" t="s">
        <v>817</v>
      </c>
      <c r="E367" s="30" t="s">
        <v>239</v>
      </c>
      <c r="F367" s="41">
        <v>600</v>
      </c>
      <c r="G367" s="41">
        <v>600</v>
      </c>
    </row>
    <row r="368" spans="1:7" s="39" customFormat="1" ht="15" x14ac:dyDescent="0.2">
      <c r="A368" s="75" t="s">
        <v>342</v>
      </c>
      <c r="B368" s="24" t="s">
        <v>834</v>
      </c>
      <c r="C368" s="24"/>
      <c r="D368" s="24"/>
      <c r="E368" s="24"/>
      <c r="F368" s="42">
        <f t="shared" ref="F368:G370" si="54">F369</f>
        <v>20000</v>
      </c>
      <c r="G368" s="42">
        <f t="shared" si="54"/>
        <v>20000</v>
      </c>
    </row>
    <row r="369" spans="1:7" s="39" customFormat="1" ht="15" x14ac:dyDescent="0.2">
      <c r="A369" s="61" t="s">
        <v>673</v>
      </c>
      <c r="B369" s="24" t="s">
        <v>835</v>
      </c>
      <c r="C369" s="24" t="s">
        <v>824</v>
      </c>
      <c r="D369" s="24"/>
      <c r="E369" s="33"/>
      <c r="F369" s="42">
        <f t="shared" si="54"/>
        <v>20000</v>
      </c>
      <c r="G369" s="42">
        <f t="shared" si="54"/>
        <v>20000</v>
      </c>
    </row>
    <row r="370" spans="1:7" s="39" customFormat="1" ht="15" x14ac:dyDescent="0.2">
      <c r="A370" s="80" t="s">
        <v>675</v>
      </c>
      <c r="B370" s="24" t="s">
        <v>835</v>
      </c>
      <c r="C370" s="24" t="s">
        <v>824</v>
      </c>
      <c r="D370" s="24" t="s">
        <v>825</v>
      </c>
      <c r="E370" s="33"/>
      <c r="F370" s="42">
        <f t="shared" si="54"/>
        <v>20000</v>
      </c>
      <c r="G370" s="42">
        <f t="shared" si="54"/>
        <v>20000</v>
      </c>
    </row>
    <row r="371" spans="1:7" s="39" customFormat="1" ht="24" x14ac:dyDescent="0.2">
      <c r="A371" s="84" t="s">
        <v>246</v>
      </c>
      <c r="B371" s="30" t="s">
        <v>835</v>
      </c>
      <c r="C371" s="30" t="s">
        <v>824</v>
      </c>
      <c r="D371" s="30" t="s">
        <v>825</v>
      </c>
      <c r="E371" s="30" t="s">
        <v>702</v>
      </c>
      <c r="F371" s="41">
        <f>F372+F373</f>
        <v>20000</v>
      </c>
      <c r="G371" s="41">
        <f>G372+G373</f>
        <v>20000</v>
      </c>
    </row>
    <row r="372" spans="1:7" s="39" customFormat="1" ht="15" x14ac:dyDescent="0.2">
      <c r="A372" s="84" t="s">
        <v>247</v>
      </c>
      <c r="B372" s="30" t="s">
        <v>835</v>
      </c>
      <c r="C372" s="30" t="s">
        <v>824</v>
      </c>
      <c r="D372" s="30" t="s">
        <v>825</v>
      </c>
      <c r="E372" s="30" t="s">
        <v>724</v>
      </c>
      <c r="F372" s="41">
        <v>19142</v>
      </c>
      <c r="G372" s="41">
        <v>19142</v>
      </c>
    </row>
    <row r="373" spans="1:7" s="39" customFormat="1" ht="15" x14ac:dyDescent="0.2">
      <c r="A373" s="84" t="s">
        <v>108</v>
      </c>
      <c r="B373" s="30" t="s">
        <v>835</v>
      </c>
      <c r="C373" s="30" t="s">
        <v>824</v>
      </c>
      <c r="D373" s="30" t="s">
        <v>825</v>
      </c>
      <c r="E373" s="30" t="s">
        <v>109</v>
      </c>
      <c r="F373" s="41">
        <v>858</v>
      </c>
      <c r="G373" s="41">
        <v>858</v>
      </c>
    </row>
    <row r="374" spans="1:7" s="39" customFormat="1" ht="48" x14ac:dyDescent="0.2">
      <c r="A374" s="61" t="s">
        <v>104</v>
      </c>
      <c r="B374" s="24" t="s">
        <v>462</v>
      </c>
      <c r="C374" s="24"/>
      <c r="D374" s="24"/>
      <c r="E374" s="24"/>
      <c r="F374" s="42">
        <f t="shared" ref="F374:G377" si="55">F375</f>
        <v>11500</v>
      </c>
      <c r="G374" s="42">
        <f t="shared" si="55"/>
        <v>11200</v>
      </c>
    </row>
    <row r="375" spans="1:7" s="39" customFormat="1" ht="15" x14ac:dyDescent="0.2">
      <c r="A375" s="61" t="s">
        <v>700</v>
      </c>
      <c r="B375" s="24" t="s">
        <v>462</v>
      </c>
      <c r="C375" s="24" t="s">
        <v>107</v>
      </c>
      <c r="D375" s="24"/>
      <c r="E375" s="24"/>
      <c r="F375" s="42">
        <f t="shared" si="55"/>
        <v>11500</v>
      </c>
      <c r="G375" s="42">
        <f t="shared" si="55"/>
        <v>11200</v>
      </c>
    </row>
    <row r="376" spans="1:7" s="39" customFormat="1" ht="15" x14ac:dyDescent="0.2">
      <c r="A376" s="80" t="s">
        <v>688</v>
      </c>
      <c r="B376" s="24" t="s">
        <v>462</v>
      </c>
      <c r="C376" s="24" t="s">
        <v>107</v>
      </c>
      <c r="D376" s="24" t="s">
        <v>216</v>
      </c>
      <c r="E376" s="24"/>
      <c r="F376" s="42">
        <f t="shared" si="55"/>
        <v>11500</v>
      </c>
      <c r="G376" s="42">
        <f t="shared" si="55"/>
        <v>11200</v>
      </c>
    </row>
    <row r="377" spans="1:7" s="39" customFormat="1" ht="15" x14ac:dyDescent="0.2">
      <c r="A377" s="84" t="s">
        <v>237</v>
      </c>
      <c r="B377" s="30" t="s">
        <v>462</v>
      </c>
      <c r="C377" s="30" t="s">
        <v>107</v>
      </c>
      <c r="D377" s="30" t="s">
        <v>216</v>
      </c>
      <c r="E377" s="30" t="s">
        <v>236</v>
      </c>
      <c r="F377" s="41">
        <f t="shared" si="55"/>
        <v>11500</v>
      </c>
      <c r="G377" s="41">
        <f t="shared" si="55"/>
        <v>11200</v>
      </c>
    </row>
    <row r="378" spans="1:7" s="39" customFormat="1" ht="15" x14ac:dyDescent="0.2">
      <c r="A378" s="84" t="s">
        <v>314</v>
      </c>
      <c r="B378" s="30" t="s">
        <v>462</v>
      </c>
      <c r="C378" s="30" t="s">
        <v>107</v>
      </c>
      <c r="D378" s="30" t="s">
        <v>216</v>
      </c>
      <c r="E378" s="30" t="s">
        <v>110</v>
      </c>
      <c r="F378" s="41">
        <v>11500</v>
      </c>
      <c r="G378" s="41">
        <v>11200</v>
      </c>
    </row>
    <row r="379" spans="1:7" s="39" customFormat="1" ht="24" x14ac:dyDescent="0.2">
      <c r="A379" s="75" t="s">
        <v>505</v>
      </c>
      <c r="B379" s="24" t="s">
        <v>333</v>
      </c>
      <c r="C379" s="24"/>
      <c r="D379" s="24"/>
      <c r="E379" s="24"/>
      <c r="F379" s="42">
        <f>F380</f>
        <v>9626</v>
      </c>
      <c r="G379" s="42">
        <f>G380</f>
        <v>9626</v>
      </c>
    </row>
    <row r="380" spans="1:7" s="39" customFormat="1" ht="25.5" x14ac:dyDescent="0.2">
      <c r="A380" s="68" t="s">
        <v>340</v>
      </c>
      <c r="B380" s="24" t="s">
        <v>333</v>
      </c>
      <c r="C380" s="24"/>
      <c r="D380" s="24"/>
      <c r="E380" s="24"/>
      <c r="F380" s="42">
        <f>F381</f>
        <v>9626</v>
      </c>
      <c r="G380" s="42">
        <f>G381</f>
        <v>9626</v>
      </c>
    </row>
    <row r="381" spans="1:7" s="39" customFormat="1" ht="24" x14ac:dyDescent="0.2">
      <c r="A381" s="83" t="s">
        <v>704</v>
      </c>
      <c r="B381" s="25" t="s">
        <v>333</v>
      </c>
      <c r="C381" s="25"/>
      <c r="D381" s="25"/>
      <c r="E381" s="25"/>
      <c r="F381" s="45">
        <f>F382+F387</f>
        <v>9626</v>
      </c>
      <c r="G381" s="45">
        <f>G382+G387</f>
        <v>9626</v>
      </c>
    </row>
    <row r="382" spans="1:7" s="39" customFormat="1" ht="15" x14ac:dyDescent="0.2">
      <c r="A382" s="61" t="s">
        <v>673</v>
      </c>
      <c r="B382" s="24" t="s">
        <v>464</v>
      </c>
      <c r="C382" s="24" t="s">
        <v>824</v>
      </c>
      <c r="D382" s="24"/>
      <c r="E382" s="25"/>
      <c r="F382" s="42">
        <f t="shared" ref="F382:G385" si="56">F383</f>
        <v>9114</v>
      </c>
      <c r="G382" s="42">
        <f t="shared" si="56"/>
        <v>9114</v>
      </c>
    </row>
    <row r="383" spans="1:7" s="39" customFormat="1" ht="15" x14ac:dyDescent="0.2">
      <c r="A383" s="80" t="s">
        <v>677</v>
      </c>
      <c r="B383" s="24" t="s">
        <v>464</v>
      </c>
      <c r="C383" s="24" t="s">
        <v>824</v>
      </c>
      <c r="D383" s="24" t="s">
        <v>818</v>
      </c>
      <c r="E383" s="25"/>
      <c r="F383" s="42">
        <f t="shared" si="56"/>
        <v>9114</v>
      </c>
      <c r="G383" s="42">
        <f t="shared" si="56"/>
        <v>9114</v>
      </c>
    </row>
    <row r="384" spans="1:7" s="39" customFormat="1" ht="15" x14ac:dyDescent="0.2">
      <c r="A384" s="82" t="s">
        <v>685</v>
      </c>
      <c r="B384" s="24" t="s">
        <v>464</v>
      </c>
      <c r="C384" s="24" t="s">
        <v>824</v>
      </c>
      <c r="D384" s="24" t="s">
        <v>818</v>
      </c>
      <c r="E384" s="24"/>
      <c r="F384" s="42">
        <f t="shared" si="56"/>
        <v>9114</v>
      </c>
      <c r="G384" s="42">
        <f t="shared" si="56"/>
        <v>9114</v>
      </c>
    </row>
    <row r="385" spans="1:7" s="39" customFormat="1" ht="36" x14ac:dyDescent="0.2">
      <c r="A385" s="84" t="s">
        <v>217</v>
      </c>
      <c r="B385" s="30" t="s">
        <v>464</v>
      </c>
      <c r="C385" s="30" t="s">
        <v>824</v>
      </c>
      <c r="D385" s="30" t="s">
        <v>818</v>
      </c>
      <c r="E385" s="30" t="s">
        <v>218</v>
      </c>
      <c r="F385" s="41">
        <f t="shared" si="56"/>
        <v>9114</v>
      </c>
      <c r="G385" s="41">
        <f t="shared" si="56"/>
        <v>9114</v>
      </c>
    </row>
    <row r="386" spans="1:7" s="39" customFormat="1" ht="15" x14ac:dyDescent="0.2">
      <c r="A386" s="84" t="s">
        <v>219</v>
      </c>
      <c r="B386" s="30" t="s">
        <v>464</v>
      </c>
      <c r="C386" s="30" t="s">
        <v>824</v>
      </c>
      <c r="D386" s="30" t="s">
        <v>818</v>
      </c>
      <c r="E386" s="30" t="s">
        <v>224</v>
      </c>
      <c r="F386" s="41">
        <f>7000+2114</f>
        <v>9114</v>
      </c>
      <c r="G386" s="41">
        <f>7000+2114</f>
        <v>9114</v>
      </c>
    </row>
    <row r="387" spans="1:7" s="39" customFormat="1" ht="15" x14ac:dyDescent="0.2">
      <c r="A387" s="80" t="s">
        <v>225</v>
      </c>
      <c r="B387" s="24" t="s">
        <v>465</v>
      </c>
      <c r="C387" s="24"/>
      <c r="D387" s="24"/>
      <c r="E387" s="24"/>
      <c r="F387" s="42">
        <f>F388</f>
        <v>512</v>
      </c>
      <c r="G387" s="42">
        <f>G388</f>
        <v>512</v>
      </c>
    </row>
    <row r="388" spans="1:7" s="39" customFormat="1" ht="15" x14ac:dyDescent="0.2">
      <c r="A388" s="61" t="s">
        <v>673</v>
      </c>
      <c r="B388" s="24" t="s">
        <v>465</v>
      </c>
      <c r="C388" s="24" t="s">
        <v>824</v>
      </c>
      <c r="D388" s="24"/>
      <c r="E388" s="25"/>
      <c r="F388" s="42">
        <f>F389</f>
        <v>512</v>
      </c>
      <c r="G388" s="42">
        <f>G389</f>
        <v>512</v>
      </c>
    </row>
    <row r="389" spans="1:7" s="39" customFormat="1" ht="15" x14ac:dyDescent="0.2">
      <c r="A389" s="80" t="s">
        <v>677</v>
      </c>
      <c r="B389" s="24" t="s">
        <v>465</v>
      </c>
      <c r="C389" s="24" t="s">
        <v>824</v>
      </c>
      <c r="D389" s="24" t="s">
        <v>818</v>
      </c>
      <c r="E389" s="25"/>
      <c r="F389" s="42">
        <f>F390+F392</f>
        <v>512</v>
      </c>
      <c r="G389" s="42">
        <f>G390+G392</f>
        <v>512</v>
      </c>
    </row>
    <row r="390" spans="1:7" s="39" customFormat="1" ht="15" x14ac:dyDescent="0.2">
      <c r="A390" s="84" t="s">
        <v>473</v>
      </c>
      <c r="B390" s="30" t="s">
        <v>465</v>
      </c>
      <c r="C390" s="30" t="s">
        <v>824</v>
      </c>
      <c r="D390" s="30" t="s">
        <v>818</v>
      </c>
      <c r="E390" s="30" t="s">
        <v>226</v>
      </c>
      <c r="F390" s="41">
        <f>F391</f>
        <v>497</v>
      </c>
      <c r="G390" s="41">
        <f>G391</f>
        <v>497</v>
      </c>
    </row>
    <row r="391" spans="1:7" s="39" customFormat="1" ht="15" x14ac:dyDescent="0.2">
      <c r="A391" s="84" t="s">
        <v>227</v>
      </c>
      <c r="B391" s="30" t="s">
        <v>465</v>
      </c>
      <c r="C391" s="30" t="s">
        <v>824</v>
      </c>
      <c r="D391" s="30" t="s">
        <v>818</v>
      </c>
      <c r="E391" s="30" t="s">
        <v>228</v>
      </c>
      <c r="F391" s="41">
        <v>497</v>
      </c>
      <c r="G391" s="41">
        <v>497</v>
      </c>
    </row>
    <row r="392" spans="1:7" s="39" customFormat="1" ht="15" x14ac:dyDescent="0.2">
      <c r="A392" s="84" t="s">
        <v>229</v>
      </c>
      <c r="B392" s="30" t="s">
        <v>465</v>
      </c>
      <c r="C392" s="30" t="s">
        <v>824</v>
      </c>
      <c r="D392" s="30" t="s">
        <v>818</v>
      </c>
      <c r="E392" s="30" t="s">
        <v>230</v>
      </c>
      <c r="F392" s="41">
        <f>F393</f>
        <v>15</v>
      </c>
      <c r="G392" s="41">
        <f>G393</f>
        <v>15</v>
      </c>
    </row>
    <row r="393" spans="1:7" s="39" customFormat="1" ht="15" x14ac:dyDescent="0.2">
      <c r="A393" s="84" t="s">
        <v>106</v>
      </c>
      <c r="B393" s="30" t="s">
        <v>465</v>
      </c>
      <c r="C393" s="30" t="s">
        <v>824</v>
      </c>
      <c r="D393" s="30" t="s">
        <v>818</v>
      </c>
      <c r="E393" s="30" t="s">
        <v>231</v>
      </c>
      <c r="F393" s="41">
        <v>15</v>
      </c>
      <c r="G393" s="41">
        <v>15</v>
      </c>
    </row>
    <row r="394" spans="1:7" s="39" customFormat="1" ht="27" x14ac:dyDescent="0.2">
      <c r="A394" s="152" t="s">
        <v>548</v>
      </c>
      <c r="B394" s="154" t="s">
        <v>427</v>
      </c>
      <c r="C394" s="158"/>
      <c r="D394" s="158"/>
      <c r="E394" s="158"/>
      <c r="F394" s="164">
        <f>F395+F431+F447+F471</f>
        <v>183544.99999999997</v>
      </c>
      <c r="G394" s="164">
        <f>G395+G431+G447+G471</f>
        <v>178944.99999999997</v>
      </c>
    </row>
    <row r="395" spans="1:7" s="39" customFormat="1" ht="15" x14ac:dyDescent="0.2">
      <c r="A395" s="80" t="s">
        <v>213</v>
      </c>
      <c r="B395" s="24" t="s">
        <v>443</v>
      </c>
      <c r="C395" s="24"/>
      <c r="D395" s="24"/>
      <c r="E395" s="24"/>
      <c r="F395" s="42">
        <f>F396+F401+F406+F411+F416+F421+F426</f>
        <v>20000</v>
      </c>
      <c r="G395" s="42">
        <f>G396+G401+G406+G411+G416+G421+G426</f>
        <v>20000</v>
      </c>
    </row>
    <row r="396" spans="1:7" s="39" customFormat="1" ht="15" x14ac:dyDescent="0.2">
      <c r="A396" s="75" t="s">
        <v>251</v>
      </c>
      <c r="B396" s="24" t="s">
        <v>98</v>
      </c>
      <c r="C396" s="24"/>
      <c r="D396" s="24"/>
      <c r="E396" s="25"/>
      <c r="F396" s="42">
        <f t="shared" ref="F396:G399" si="57">F397</f>
        <v>17950</v>
      </c>
      <c r="G396" s="42">
        <f t="shared" si="57"/>
        <v>17950</v>
      </c>
    </row>
    <row r="397" spans="1:7" s="39" customFormat="1" ht="15" x14ac:dyDescent="0.2">
      <c r="A397" s="61" t="s">
        <v>689</v>
      </c>
      <c r="B397" s="24" t="s">
        <v>98</v>
      </c>
      <c r="C397" s="24" t="s">
        <v>822</v>
      </c>
      <c r="D397" s="24"/>
      <c r="E397" s="24"/>
      <c r="F397" s="42">
        <f t="shared" si="57"/>
        <v>17950</v>
      </c>
      <c r="G397" s="42">
        <f t="shared" si="57"/>
        <v>17950</v>
      </c>
    </row>
    <row r="398" spans="1:7" s="39" customFormat="1" ht="15" x14ac:dyDescent="0.2">
      <c r="A398" s="61" t="s">
        <v>799</v>
      </c>
      <c r="B398" s="24" t="s">
        <v>98</v>
      </c>
      <c r="C398" s="24" t="s">
        <v>822</v>
      </c>
      <c r="D398" s="24" t="s">
        <v>216</v>
      </c>
      <c r="E398" s="24"/>
      <c r="F398" s="42">
        <f t="shared" si="57"/>
        <v>17950</v>
      </c>
      <c r="G398" s="42">
        <f t="shared" si="57"/>
        <v>17950</v>
      </c>
    </row>
    <row r="399" spans="1:7" s="39" customFormat="1" ht="15" x14ac:dyDescent="0.2">
      <c r="A399" s="84" t="s">
        <v>473</v>
      </c>
      <c r="B399" s="30" t="s">
        <v>98</v>
      </c>
      <c r="C399" s="30" t="s">
        <v>822</v>
      </c>
      <c r="D399" s="30" t="s">
        <v>216</v>
      </c>
      <c r="E399" s="30" t="s">
        <v>226</v>
      </c>
      <c r="F399" s="41">
        <f t="shared" si="57"/>
        <v>17950</v>
      </c>
      <c r="G399" s="41">
        <f t="shared" si="57"/>
        <v>17950</v>
      </c>
    </row>
    <row r="400" spans="1:7" s="39" customFormat="1" ht="15" x14ac:dyDescent="0.2">
      <c r="A400" s="84" t="s">
        <v>227</v>
      </c>
      <c r="B400" s="30" t="s">
        <v>98</v>
      </c>
      <c r="C400" s="30" t="s">
        <v>822</v>
      </c>
      <c r="D400" s="30" t="s">
        <v>216</v>
      </c>
      <c r="E400" s="30" t="s">
        <v>228</v>
      </c>
      <c r="F400" s="41">
        <v>17950</v>
      </c>
      <c r="G400" s="41">
        <v>17950</v>
      </c>
    </row>
    <row r="401" spans="1:7" s="39" customFormat="1" ht="15" x14ac:dyDescent="0.2">
      <c r="A401" s="75" t="s">
        <v>563</v>
      </c>
      <c r="B401" s="24" t="s">
        <v>97</v>
      </c>
      <c r="C401" s="24"/>
      <c r="D401" s="24"/>
      <c r="E401" s="25"/>
      <c r="F401" s="42">
        <f t="shared" ref="F401:G404" si="58">F402</f>
        <v>500</v>
      </c>
      <c r="G401" s="42">
        <f t="shared" si="58"/>
        <v>500</v>
      </c>
    </row>
    <row r="402" spans="1:7" s="39" customFormat="1" ht="15" x14ac:dyDescent="0.2">
      <c r="A402" s="61" t="s">
        <v>689</v>
      </c>
      <c r="B402" s="24" t="s">
        <v>97</v>
      </c>
      <c r="C402" s="24" t="s">
        <v>822</v>
      </c>
      <c r="D402" s="24"/>
      <c r="E402" s="24"/>
      <c r="F402" s="42">
        <f t="shared" si="58"/>
        <v>500</v>
      </c>
      <c r="G402" s="42">
        <f t="shared" si="58"/>
        <v>500</v>
      </c>
    </row>
    <row r="403" spans="1:7" s="39" customFormat="1" ht="15" x14ac:dyDescent="0.2">
      <c r="A403" s="61" t="s">
        <v>799</v>
      </c>
      <c r="B403" s="24" t="s">
        <v>97</v>
      </c>
      <c r="C403" s="24" t="s">
        <v>822</v>
      </c>
      <c r="D403" s="24" t="s">
        <v>216</v>
      </c>
      <c r="E403" s="24"/>
      <c r="F403" s="42">
        <f t="shared" si="58"/>
        <v>500</v>
      </c>
      <c r="G403" s="42">
        <f t="shared" si="58"/>
        <v>500</v>
      </c>
    </row>
    <row r="404" spans="1:7" s="39" customFormat="1" ht="15" x14ac:dyDescent="0.2">
      <c r="A404" s="84" t="s">
        <v>473</v>
      </c>
      <c r="B404" s="30" t="s">
        <v>97</v>
      </c>
      <c r="C404" s="30" t="s">
        <v>822</v>
      </c>
      <c r="D404" s="30" t="s">
        <v>216</v>
      </c>
      <c r="E404" s="30" t="s">
        <v>226</v>
      </c>
      <c r="F404" s="41">
        <f t="shared" si="58"/>
        <v>500</v>
      </c>
      <c r="G404" s="41">
        <f t="shared" si="58"/>
        <v>500</v>
      </c>
    </row>
    <row r="405" spans="1:7" s="39" customFormat="1" ht="15" x14ac:dyDescent="0.2">
      <c r="A405" s="84" t="s">
        <v>227</v>
      </c>
      <c r="B405" s="30" t="s">
        <v>97</v>
      </c>
      <c r="C405" s="30" t="s">
        <v>822</v>
      </c>
      <c r="D405" s="30" t="s">
        <v>216</v>
      </c>
      <c r="E405" s="30" t="s">
        <v>228</v>
      </c>
      <c r="F405" s="41">
        <v>500</v>
      </c>
      <c r="G405" s="41">
        <v>500</v>
      </c>
    </row>
    <row r="406" spans="1:7" s="39" customFormat="1" ht="36" x14ac:dyDescent="0.2">
      <c r="A406" s="80" t="s">
        <v>600</v>
      </c>
      <c r="B406" s="24" t="s">
        <v>99</v>
      </c>
      <c r="C406" s="24"/>
      <c r="D406" s="24"/>
      <c r="E406" s="24"/>
      <c r="F406" s="42">
        <f t="shared" ref="F406:G409" si="59">F407</f>
        <v>200</v>
      </c>
      <c r="G406" s="42">
        <f t="shared" si="59"/>
        <v>200</v>
      </c>
    </row>
    <row r="407" spans="1:7" s="39" customFormat="1" ht="15" x14ac:dyDescent="0.2">
      <c r="A407" s="61" t="s">
        <v>689</v>
      </c>
      <c r="B407" s="24" t="s">
        <v>99</v>
      </c>
      <c r="C407" s="24" t="s">
        <v>822</v>
      </c>
      <c r="D407" s="24"/>
      <c r="E407" s="24"/>
      <c r="F407" s="42">
        <f t="shared" si="59"/>
        <v>200</v>
      </c>
      <c r="G407" s="42">
        <f t="shared" si="59"/>
        <v>200</v>
      </c>
    </row>
    <row r="408" spans="1:7" s="39" customFormat="1" ht="15" x14ac:dyDescent="0.2">
      <c r="A408" s="61" t="s">
        <v>799</v>
      </c>
      <c r="B408" s="24" t="s">
        <v>99</v>
      </c>
      <c r="C408" s="24" t="s">
        <v>822</v>
      </c>
      <c r="D408" s="24" t="s">
        <v>216</v>
      </c>
      <c r="E408" s="24"/>
      <c r="F408" s="42">
        <f t="shared" si="59"/>
        <v>200</v>
      </c>
      <c r="G408" s="42">
        <f t="shared" si="59"/>
        <v>200</v>
      </c>
    </row>
    <row r="409" spans="1:7" s="39" customFormat="1" ht="15" x14ac:dyDescent="0.2">
      <c r="A409" s="84" t="s">
        <v>473</v>
      </c>
      <c r="B409" s="30" t="s">
        <v>99</v>
      </c>
      <c r="C409" s="30" t="s">
        <v>822</v>
      </c>
      <c r="D409" s="30" t="s">
        <v>216</v>
      </c>
      <c r="E409" s="30" t="s">
        <v>226</v>
      </c>
      <c r="F409" s="41">
        <f t="shared" si="59"/>
        <v>200</v>
      </c>
      <c r="G409" s="41">
        <f t="shared" si="59"/>
        <v>200</v>
      </c>
    </row>
    <row r="410" spans="1:7" s="39" customFormat="1" ht="15" x14ac:dyDescent="0.2">
      <c r="A410" s="84" t="s">
        <v>227</v>
      </c>
      <c r="B410" s="30" t="s">
        <v>99</v>
      </c>
      <c r="C410" s="30" t="s">
        <v>822</v>
      </c>
      <c r="D410" s="30" t="s">
        <v>216</v>
      </c>
      <c r="E410" s="30" t="s">
        <v>228</v>
      </c>
      <c r="F410" s="41">
        <v>200</v>
      </c>
      <c r="G410" s="41">
        <v>200</v>
      </c>
    </row>
    <row r="411" spans="1:7" s="39" customFormat="1" ht="24" x14ac:dyDescent="0.2">
      <c r="A411" s="80" t="s">
        <v>601</v>
      </c>
      <c r="B411" s="24" t="s">
        <v>100</v>
      </c>
      <c r="C411" s="24"/>
      <c r="D411" s="24"/>
      <c r="E411" s="24"/>
      <c r="F411" s="42">
        <f t="shared" ref="F411:G414" si="60">F412</f>
        <v>50</v>
      </c>
      <c r="G411" s="42">
        <f t="shared" si="60"/>
        <v>50</v>
      </c>
    </row>
    <row r="412" spans="1:7" s="39" customFormat="1" ht="15" x14ac:dyDescent="0.2">
      <c r="A412" s="61" t="s">
        <v>689</v>
      </c>
      <c r="B412" s="24" t="s">
        <v>100</v>
      </c>
      <c r="C412" s="24" t="s">
        <v>822</v>
      </c>
      <c r="D412" s="24"/>
      <c r="E412" s="24"/>
      <c r="F412" s="42">
        <f t="shared" si="60"/>
        <v>50</v>
      </c>
      <c r="G412" s="42">
        <f t="shared" si="60"/>
        <v>50</v>
      </c>
    </row>
    <row r="413" spans="1:7" s="39" customFormat="1" ht="15" x14ac:dyDescent="0.2">
      <c r="A413" s="61" t="s">
        <v>799</v>
      </c>
      <c r="B413" s="24" t="s">
        <v>100</v>
      </c>
      <c r="C413" s="24" t="s">
        <v>822</v>
      </c>
      <c r="D413" s="24" t="s">
        <v>216</v>
      </c>
      <c r="E413" s="24"/>
      <c r="F413" s="42">
        <f t="shared" si="60"/>
        <v>50</v>
      </c>
      <c r="G413" s="42">
        <f t="shared" si="60"/>
        <v>50</v>
      </c>
    </row>
    <row r="414" spans="1:7" s="39" customFormat="1" ht="15" x14ac:dyDescent="0.2">
      <c r="A414" s="84" t="s">
        <v>473</v>
      </c>
      <c r="B414" s="30" t="s">
        <v>100</v>
      </c>
      <c r="C414" s="30" t="s">
        <v>822</v>
      </c>
      <c r="D414" s="30" t="s">
        <v>216</v>
      </c>
      <c r="E414" s="30" t="s">
        <v>226</v>
      </c>
      <c r="F414" s="41">
        <f t="shared" si="60"/>
        <v>50</v>
      </c>
      <c r="G414" s="41">
        <f t="shared" si="60"/>
        <v>50</v>
      </c>
    </row>
    <row r="415" spans="1:7" s="39" customFormat="1" ht="15" x14ac:dyDescent="0.2">
      <c r="A415" s="84" t="s">
        <v>227</v>
      </c>
      <c r="B415" s="30" t="s">
        <v>100</v>
      </c>
      <c r="C415" s="30" t="s">
        <v>822</v>
      </c>
      <c r="D415" s="30" t="s">
        <v>216</v>
      </c>
      <c r="E415" s="30" t="s">
        <v>228</v>
      </c>
      <c r="F415" s="41">
        <v>50</v>
      </c>
      <c r="G415" s="41">
        <v>50</v>
      </c>
    </row>
    <row r="416" spans="1:7" s="39" customFormat="1" ht="24" x14ac:dyDescent="0.2">
      <c r="A416" s="80" t="s">
        <v>759</v>
      </c>
      <c r="B416" s="24" t="s">
        <v>101</v>
      </c>
      <c r="C416" s="24"/>
      <c r="D416" s="24"/>
      <c r="E416" s="24"/>
      <c r="F416" s="42">
        <f t="shared" ref="F416:G419" si="61">F417</f>
        <v>500</v>
      </c>
      <c r="G416" s="42">
        <f t="shared" si="61"/>
        <v>500</v>
      </c>
    </row>
    <row r="417" spans="1:7" s="39" customFormat="1" ht="15" x14ac:dyDescent="0.2">
      <c r="A417" s="61" t="s">
        <v>689</v>
      </c>
      <c r="B417" s="24" t="s">
        <v>101</v>
      </c>
      <c r="C417" s="24" t="s">
        <v>822</v>
      </c>
      <c r="D417" s="24"/>
      <c r="E417" s="24"/>
      <c r="F417" s="42">
        <f t="shared" si="61"/>
        <v>500</v>
      </c>
      <c r="G417" s="42">
        <f t="shared" si="61"/>
        <v>500</v>
      </c>
    </row>
    <row r="418" spans="1:7" s="39" customFormat="1" ht="15" x14ac:dyDescent="0.2">
      <c r="A418" s="61" t="s">
        <v>799</v>
      </c>
      <c r="B418" s="24" t="s">
        <v>101</v>
      </c>
      <c r="C418" s="24" t="s">
        <v>822</v>
      </c>
      <c r="D418" s="24" t="s">
        <v>216</v>
      </c>
      <c r="E418" s="24"/>
      <c r="F418" s="42">
        <f t="shared" si="61"/>
        <v>500</v>
      </c>
      <c r="G418" s="42">
        <f t="shared" si="61"/>
        <v>500</v>
      </c>
    </row>
    <row r="419" spans="1:7" s="39" customFormat="1" ht="15" x14ac:dyDescent="0.2">
      <c r="A419" s="84" t="s">
        <v>473</v>
      </c>
      <c r="B419" s="30" t="s">
        <v>101</v>
      </c>
      <c r="C419" s="30" t="s">
        <v>822</v>
      </c>
      <c r="D419" s="30" t="s">
        <v>216</v>
      </c>
      <c r="E419" s="30" t="s">
        <v>226</v>
      </c>
      <c r="F419" s="41">
        <f t="shared" si="61"/>
        <v>500</v>
      </c>
      <c r="G419" s="41">
        <f t="shared" si="61"/>
        <v>500</v>
      </c>
    </row>
    <row r="420" spans="1:7" s="39" customFormat="1" ht="15" x14ac:dyDescent="0.2">
      <c r="A420" s="84" t="s">
        <v>227</v>
      </c>
      <c r="B420" s="30" t="s">
        <v>101</v>
      </c>
      <c r="C420" s="30" t="s">
        <v>822</v>
      </c>
      <c r="D420" s="30" t="s">
        <v>216</v>
      </c>
      <c r="E420" s="30" t="s">
        <v>228</v>
      </c>
      <c r="F420" s="41">
        <v>500</v>
      </c>
      <c r="G420" s="41">
        <v>500</v>
      </c>
    </row>
    <row r="421" spans="1:7" s="39" customFormat="1" ht="24" x14ac:dyDescent="0.2">
      <c r="A421" s="80" t="s">
        <v>539</v>
      </c>
      <c r="B421" s="24" t="s">
        <v>102</v>
      </c>
      <c r="C421" s="24"/>
      <c r="D421" s="24"/>
      <c r="E421" s="24"/>
      <c r="F421" s="117">
        <f t="shared" ref="F421:G424" si="62">F422</f>
        <v>500</v>
      </c>
      <c r="G421" s="117">
        <f t="shared" si="62"/>
        <v>500</v>
      </c>
    </row>
    <row r="422" spans="1:7" s="39" customFormat="1" ht="15" x14ac:dyDescent="0.2">
      <c r="A422" s="61" t="s">
        <v>689</v>
      </c>
      <c r="B422" s="24" t="s">
        <v>102</v>
      </c>
      <c r="C422" s="24" t="s">
        <v>822</v>
      </c>
      <c r="D422" s="24"/>
      <c r="E422" s="24"/>
      <c r="F422" s="42">
        <f t="shared" si="62"/>
        <v>500</v>
      </c>
      <c r="G422" s="42">
        <f t="shared" si="62"/>
        <v>500</v>
      </c>
    </row>
    <row r="423" spans="1:7" s="39" customFormat="1" ht="15" x14ac:dyDescent="0.2">
      <c r="A423" s="61" t="s">
        <v>799</v>
      </c>
      <c r="B423" s="24" t="s">
        <v>102</v>
      </c>
      <c r="C423" s="24" t="s">
        <v>822</v>
      </c>
      <c r="D423" s="24" t="s">
        <v>216</v>
      </c>
      <c r="E423" s="24"/>
      <c r="F423" s="42">
        <f t="shared" si="62"/>
        <v>500</v>
      </c>
      <c r="G423" s="42">
        <f t="shared" si="62"/>
        <v>500</v>
      </c>
    </row>
    <row r="424" spans="1:7" s="39" customFormat="1" ht="15" x14ac:dyDescent="0.2">
      <c r="A424" s="84" t="s">
        <v>473</v>
      </c>
      <c r="B424" s="30" t="s">
        <v>102</v>
      </c>
      <c r="C424" s="30" t="s">
        <v>822</v>
      </c>
      <c r="D424" s="30" t="s">
        <v>216</v>
      </c>
      <c r="E424" s="30" t="s">
        <v>226</v>
      </c>
      <c r="F424" s="118">
        <f t="shared" si="62"/>
        <v>500</v>
      </c>
      <c r="G424" s="118">
        <f t="shared" si="62"/>
        <v>500</v>
      </c>
    </row>
    <row r="425" spans="1:7" s="39" customFormat="1" ht="15" x14ac:dyDescent="0.2">
      <c r="A425" s="84" t="s">
        <v>227</v>
      </c>
      <c r="B425" s="30" t="s">
        <v>102</v>
      </c>
      <c r="C425" s="30" t="s">
        <v>822</v>
      </c>
      <c r="D425" s="30" t="s">
        <v>216</v>
      </c>
      <c r="E425" s="30" t="s">
        <v>228</v>
      </c>
      <c r="F425" s="118">
        <v>500</v>
      </c>
      <c r="G425" s="118">
        <v>500</v>
      </c>
    </row>
    <row r="426" spans="1:7" s="39" customFormat="1" ht="15" x14ac:dyDescent="0.2">
      <c r="A426" s="80" t="s">
        <v>538</v>
      </c>
      <c r="B426" s="24" t="s">
        <v>103</v>
      </c>
      <c r="C426" s="24"/>
      <c r="D426" s="24"/>
      <c r="E426" s="24"/>
      <c r="F426" s="42">
        <f t="shared" ref="F426:G429" si="63">F427</f>
        <v>300</v>
      </c>
      <c r="G426" s="42">
        <f t="shared" si="63"/>
        <v>300</v>
      </c>
    </row>
    <row r="427" spans="1:7" s="39" customFormat="1" ht="15" x14ac:dyDescent="0.2">
      <c r="A427" s="61" t="s">
        <v>689</v>
      </c>
      <c r="B427" s="24" t="s">
        <v>103</v>
      </c>
      <c r="C427" s="24" t="s">
        <v>822</v>
      </c>
      <c r="D427" s="24"/>
      <c r="E427" s="24"/>
      <c r="F427" s="42">
        <f t="shared" si="63"/>
        <v>300</v>
      </c>
      <c r="G427" s="42">
        <f t="shared" si="63"/>
        <v>300</v>
      </c>
    </row>
    <row r="428" spans="1:7" s="39" customFormat="1" ht="15" x14ac:dyDescent="0.2">
      <c r="A428" s="61" t="s">
        <v>799</v>
      </c>
      <c r="B428" s="24" t="s">
        <v>103</v>
      </c>
      <c r="C428" s="24" t="s">
        <v>822</v>
      </c>
      <c r="D428" s="24" t="s">
        <v>216</v>
      </c>
      <c r="E428" s="24"/>
      <c r="F428" s="42">
        <f t="shared" si="63"/>
        <v>300</v>
      </c>
      <c r="G428" s="42">
        <f t="shared" si="63"/>
        <v>300</v>
      </c>
    </row>
    <row r="429" spans="1:7" s="39" customFormat="1" ht="15" x14ac:dyDescent="0.2">
      <c r="A429" s="84" t="s">
        <v>473</v>
      </c>
      <c r="B429" s="30" t="s">
        <v>103</v>
      </c>
      <c r="C429" s="30" t="s">
        <v>822</v>
      </c>
      <c r="D429" s="30" t="s">
        <v>216</v>
      </c>
      <c r="E429" s="30" t="s">
        <v>226</v>
      </c>
      <c r="F429" s="41">
        <f t="shared" si="63"/>
        <v>300</v>
      </c>
      <c r="G429" s="41">
        <f t="shared" si="63"/>
        <v>300</v>
      </c>
    </row>
    <row r="430" spans="1:7" s="39" customFormat="1" ht="15" x14ac:dyDescent="0.2">
      <c r="A430" s="84" t="s">
        <v>227</v>
      </c>
      <c r="B430" s="30" t="s">
        <v>103</v>
      </c>
      <c r="C430" s="30" t="s">
        <v>822</v>
      </c>
      <c r="D430" s="30" t="s">
        <v>216</v>
      </c>
      <c r="E430" s="30" t="s">
        <v>228</v>
      </c>
      <c r="F430" s="41">
        <v>300</v>
      </c>
      <c r="G430" s="41">
        <v>300</v>
      </c>
    </row>
    <row r="431" spans="1:7" s="39" customFormat="1" ht="15" x14ac:dyDescent="0.2">
      <c r="A431" s="80" t="s">
        <v>650</v>
      </c>
      <c r="B431" s="24" t="s">
        <v>433</v>
      </c>
      <c r="C431" s="24"/>
      <c r="D431" s="24"/>
      <c r="E431" s="24"/>
      <c r="F431" s="42">
        <f>F432+F437+F442</f>
        <v>2500</v>
      </c>
      <c r="G431" s="42">
        <f>G432+G437+G442</f>
        <v>2500</v>
      </c>
    </row>
    <row r="432" spans="1:7" s="39" customFormat="1" ht="15" x14ac:dyDescent="0.2">
      <c r="A432" s="75" t="s">
        <v>434</v>
      </c>
      <c r="B432" s="24" t="s">
        <v>91</v>
      </c>
      <c r="C432" s="24"/>
      <c r="D432" s="24"/>
      <c r="E432" s="24"/>
      <c r="F432" s="42">
        <f t="shared" ref="F432:G435" si="64">F433</f>
        <v>1850</v>
      </c>
      <c r="G432" s="42">
        <f t="shared" si="64"/>
        <v>1850</v>
      </c>
    </row>
    <row r="433" spans="1:7" s="39" customFormat="1" ht="15" x14ac:dyDescent="0.2">
      <c r="A433" s="61" t="s">
        <v>673</v>
      </c>
      <c r="B433" s="24" t="s">
        <v>91</v>
      </c>
      <c r="C433" s="24" t="s">
        <v>824</v>
      </c>
      <c r="D433" s="24"/>
      <c r="E433" s="24"/>
      <c r="F433" s="42">
        <f t="shared" si="64"/>
        <v>1850</v>
      </c>
      <c r="G433" s="42">
        <f t="shared" si="64"/>
        <v>1850</v>
      </c>
    </row>
    <row r="434" spans="1:7" s="39" customFormat="1" ht="15" x14ac:dyDescent="0.2">
      <c r="A434" s="61" t="s">
        <v>676</v>
      </c>
      <c r="B434" s="24" t="s">
        <v>91</v>
      </c>
      <c r="C434" s="24" t="s">
        <v>824</v>
      </c>
      <c r="D434" s="24" t="s">
        <v>824</v>
      </c>
      <c r="E434" s="24"/>
      <c r="F434" s="42">
        <f t="shared" si="64"/>
        <v>1850</v>
      </c>
      <c r="G434" s="42">
        <f t="shared" si="64"/>
        <v>1850</v>
      </c>
    </row>
    <row r="435" spans="1:7" s="39" customFormat="1" ht="15" x14ac:dyDescent="0.2">
      <c r="A435" s="84" t="s">
        <v>473</v>
      </c>
      <c r="B435" s="30" t="s">
        <v>91</v>
      </c>
      <c r="C435" s="30" t="s">
        <v>824</v>
      </c>
      <c r="D435" s="30" t="s">
        <v>824</v>
      </c>
      <c r="E435" s="30" t="s">
        <v>226</v>
      </c>
      <c r="F435" s="41">
        <f t="shared" si="64"/>
        <v>1850</v>
      </c>
      <c r="G435" s="41">
        <f t="shared" si="64"/>
        <v>1850</v>
      </c>
    </row>
    <row r="436" spans="1:7" s="39" customFormat="1" ht="15" x14ac:dyDescent="0.2">
      <c r="A436" s="84" t="s">
        <v>227</v>
      </c>
      <c r="B436" s="30" t="s">
        <v>91</v>
      </c>
      <c r="C436" s="30" t="s">
        <v>824</v>
      </c>
      <c r="D436" s="30" t="s">
        <v>824</v>
      </c>
      <c r="E436" s="30" t="s">
        <v>228</v>
      </c>
      <c r="F436" s="41">
        <v>1850</v>
      </c>
      <c r="G436" s="41">
        <v>1850</v>
      </c>
    </row>
    <row r="437" spans="1:7" s="39" customFormat="1" ht="15" x14ac:dyDescent="0.2">
      <c r="A437" s="75" t="s">
        <v>435</v>
      </c>
      <c r="B437" s="24" t="s">
        <v>92</v>
      </c>
      <c r="C437" s="24"/>
      <c r="D437" s="24"/>
      <c r="E437" s="24"/>
      <c r="F437" s="42">
        <f t="shared" ref="F437:G440" si="65">F438</f>
        <v>150</v>
      </c>
      <c r="G437" s="42">
        <f t="shared" si="65"/>
        <v>150</v>
      </c>
    </row>
    <row r="438" spans="1:7" s="39" customFormat="1" ht="15" x14ac:dyDescent="0.2">
      <c r="A438" s="61" t="s">
        <v>673</v>
      </c>
      <c r="B438" s="24" t="s">
        <v>92</v>
      </c>
      <c r="C438" s="24" t="s">
        <v>824</v>
      </c>
      <c r="D438" s="24"/>
      <c r="E438" s="24"/>
      <c r="F438" s="42">
        <f t="shared" si="65"/>
        <v>150</v>
      </c>
      <c r="G438" s="42">
        <f t="shared" si="65"/>
        <v>150</v>
      </c>
    </row>
    <row r="439" spans="1:7" s="39" customFormat="1" ht="15" x14ac:dyDescent="0.2">
      <c r="A439" s="61" t="s">
        <v>676</v>
      </c>
      <c r="B439" s="24" t="s">
        <v>92</v>
      </c>
      <c r="C439" s="24" t="s">
        <v>824</v>
      </c>
      <c r="D439" s="24" t="s">
        <v>824</v>
      </c>
      <c r="E439" s="24"/>
      <c r="F439" s="42">
        <f t="shared" si="65"/>
        <v>150</v>
      </c>
      <c r="G439" s="42">
        <f t="shared" si="65"/>
        <v>150</v>
      </c>
    </row>
    <row r="440" spans="1:7" s="39" customFormat="1" ht="15" x14ac:dyDescent="0.2">
      <c r="A440" s="84" t="s">
        <v>473</v>
      </c>
      <c r="B440" s="30" t="s">
        <v>92</v>
      </c>
      <c r="C440" s="30" t="s">
        <v>824</v>
      </c>
      <c r="D440" s="30" t="s">
        <v>824</v>
      </c>
      <c r="E440" s="30" t="s">
        <v>226</v>
      </c>
      <c r="F440" s="41">
        <f t="shared" si="65"/>
        <v>150</v>
      </c>
      <c r="G440" s="41">
        <f t="shared" si="65"/>
        <v>150</v>
      </c>
    </row>
    <row r="441" spans="1:7" s="39" customFormat="1" ht="15" x14ac:dyDescent="0.2">
      <c r="A441" s="84" t="s">
        <v>227</v>
      </c>
      <c r="B441" s="30" t="s">
        <v>92</v>
      </c>
      <c r="C441" s="30" t="s">
        <v>824</v>
      </c>
      <c r="D441" s="30" t="s">
        <v>824</v>
      </c>
      <c r="E441" s="30" t="s">
        <v>228</v>
      </c>
      <c r="F441" s="41">
        <v>150</v>
      </c>
      <c r="G441" s="41">
        <v>150</v>
      </c>
    </row>
    <row r="442" spans="1:7" s="39" customFormat="1" ht="24" x14ac:dyDescent="0.2">
      <c r="A442" s="80" t="s">
        <v>203</v>
      </c>
      <c r="B442" s="24" t="s">
        <v>93</v>
      </c>
      <c r="C442" s="24"/>
      <c r="D442" s="24"/>
      <c r="E442" s="24"/>
      <c r="F442" s="42">
        <f t="shared" ref="F442:G445" si="66">F443</f>
        <v>500</v>
      </c>
      <c r="G442" s="42">
        <f t="shared" si="66"/>
        <v>500</v>
      </c>
    </row>
    <row r="443" spans="1:7" s="39" customFormat="1" ht="15" x14ac:dyDescent="0.2">
      <c r="A443" s="61" t="s">
        <v>673</v>
      </c>
      <c r="B443" s="24" t="s">
        <v>93</v>
      </c>
      <c r="C443" s="24" t="s">
        <v>824</v>
      </c>
      <c r="D443" s="24"/>
      <c r="E443" s="24"/>
      <c r="F443" s="42">
        <f t="shared" si="66"/>
        <v>500</v>
      </c>
      <c r="G443" s="42">
        <f t="shared" si="66"/>
        <v>500</v>
      </c>
    </row>
    <row r="444" spans="1:7" s="39" customFormat="1" ht="15" x14ac:dyDescent="0.2">
      <c r="A444" s="61" t="s">
        <v>676</v>
      </c>
      <c r="B444" s="24" t="s">
        <v>93</v>
      </c>
      <c r="C444" s="24" t="s">
        <v>824</v>
      </c>
      <c r="D444" s="24" t="s">
        <v>824</v>
      </c>
      <c r="E444" s="24"/>
      <c r="F444" s="42">
        <f t="shared" si="66"/>
        <v>500</v>
      </c>
      <c r="G444" s="42">
        <f t="shared" si="66"/>
        <v>500</v>
      </c>
    </row>
    <row r="445" spans="1:7" s="39" customFormat="1" ht="24" x14ac:dyDescent="0.2">
      <c r="A445" s="84" t="s">
        <v>246</v>
      </c>
      <c r="B445" s="30" t="s">
        <v>93</v>
      </c>
      <c r="C445" s="30" t="s">
        <v>824</v>
      </c>
      <c r="D445" s="30" t="s">
        <v>824</v>
      </c>
      <c r="E445" s="30" t="s">
        <v>702</v>
      </c>
      <c r="F445" s="41">
        <f t="shared" si="66"/>
        <v>500</v>
      </c>
      <c r="G445" s="41">
        <f t="shared" si="66"/>
        <v>500</v>
      </c>
    </row>
    <row r="446" spans="1:7" s="39" customFormat="1" ht="24" x14ac:dyDescent="0.2">
      <c r="A446" s="172" t="s">
        <v>290</v>
      </c>
      <c r="B446" s="30" t="s">
        <v>93</v>
      </c>
      <c r="C446" s="30" t="s">
        <v>824</v>
      </c>
      <c r="D446" s="30" t="s">
        <v>824</v>
      </c>
      <c r="E446" s="30" t="s">
        <v>794</v>
      </c>
      <c r="F446" s="41">
        <v>500</v>
      </c>
      <c r="G446" s="41">
        <v>500</v>
      </c>
    </row>
    <row r="447" spans="1:7" s="39" customFormat="1" ht="24" x14ac:dyDescent="0.2">
      <c r="A447" s="80" t="s">
        <v>651</v>
      </c>
      <c r="B447" s="24" t="s">
        <v>428</v>
      </c>
      <c r="C447" s="24"/>
      <c r="D447" s="24"/>
      <c r="E447" s="24"/>
      <c r="F447" s="42">
        <f>F448+F454+F460+F466</f>
        <v>156881.19999999998</v>
      </c>
      <c r="G447" s="42">
        <f>G448+G454+G460+G466</f>
        <v>152281.19999999998</v>
      </c>
    </row>
    <row r="448" spans="1:7" s="39" customFormat="1" ht="24" x14ac:dyDescent="0.2">
      <c r="A448" s="80" t="s">
        <v>652</v>
      </c>
      <c r="B448" s="24" t="s">
        <v>90</v>
      </c>
      <c r="C448" s="24"/>
      <c r="D448" s="24"/>
      <c r="E448" s="24"/>
      <c r="F448" s="42">
        <f t="shared" ref="F448:G452" si="67">F449</f>
        <v>91873.4</v>
      </c>
      <c r="G448" s="42">
        <f t="shared" si="67"/>
        <v>91873.4</v>
      </c>
    </row>
    <row r="449" spans="1:7" s="39" customFormat="1" ht="15" x14ac:dyDescent="0.2">
      <c r="A449" s="61" t="s">
        <v>673</v>
      </c>
      <c r="B449" s="24" t="s">
        <v>90</v>
      </c>
      <c r="C449" s="24" t="s">
        <v>824</v>
      </c>
      <c r="D449" s="24"/>
      <c r="E449" s="24"/>
      <c r="F449" s="42">
        <f t="shared" si="67"/>
        <v>91873.4</v>
      </c>
      <c r="G449" s="42">
        <f t="shared" si="67"/>
        <v>91873.4</v>
      </c>
    </row>
    <row r="450" spans="1:7" s="39" customFormat="1" ht="15" x14ac:dyDescent="0.2">
      <c r="A450" s="80" t="s">
        <v>449</v>
      </c>
      <c r="B450" s="24" t="s">
        <v>90</v>
      </c>
      <c r="C450" s="24" t="s">
        <v>824</v>
      </c>
      <c r="D450" s="24" t="s">
        <v>817</v>
      </c>
      <c r="E450" s="24"/>
      <c r="F450" s="42">
        <f t="shared" si="67"/>
        <v>91873.4</v>
      </c>
      <c r="G450" s="42">
        <f t="shared" si="67"/>
        <v>91873.4</v>
      </c>
    </row>
    <row r="451" spans="1:7" s="39" customFormat="1" ht="24" x14ac:dyDescent="0.2">
      <c r="A451" s="85" t="s">
        <v>494</v>
      </c>
      <c r="B451" s="33" t="s">
        <v>90</v>
      </c>
      <c r="C451" s="33" t="s">
        <v>824</v>
      </c>
      <c r="D451" s="33" t="s">
        <v>817</v>
      </c>
      <c r="E451" s="25"/>
      <c r="F451" s="45">
        <f t="shared" si="67"/>
        <v>91873.4</v>
      </c>
      <c r="G451" s="45">
        <f t="shared" si="67"/>
        <v>91873.4</v>
      </c>
    </row>
    <row r="452" spans="1:7" s="39" customFormat="1" ht="24" x14ac:dyDescent="0.2">
      <c r="A452" s="84" t="s">
        <v>246</v>
      </c>
      <c r="B452" s="30" t="s">
        <v>90</v>
      </c>
      <c r="C452" s="30" t="s">
        <v>824</v>
      </c>
      <c r="D452" s="30" t="s">
        <v>817</v>
      </c>
      <c r="E452" s="30" t="s">
        <v>702</v>
      </c>
      <c r="F452" s="41">
        <f t="shared" si="67"/>
        <v>91873.4</v>
      </c>
      <c r="G452" s="41">
        <f t="shared" si="67"/>
        <v>91873.4</v>
      </c>
    </row>
    <row r="453" spans="1:7" s="39" customFormat="1" ht="15" x14ac:dyDescent="0.2">
      <c r="A453" s="84" t="s">
        <v>247</v>
      </c>
      <c r="B453" s="30" t="s">
        <v>90</v>
      </c>
      <c r="C453" s="30" t="s">
        <v>824</v>
      </c>
      <c r="D453" s="30" t="s">
        <v>817</v>
      </c>
      <c r="E453" s="30" t="s">
        <v>724</v>
      </c>
      <c r="F453" s="41">
        <v>91873.4</v>
      </c>
      <c r="G453" s="41">
        <v>91873.4</v>
      </c>
    </row>
    <row r="454" spans="1:7" s="39" customFormat="1" ht="24" x14ac:dyDescent="0.2">
      <c r="A454" s="80" t="s">
        <v>653</v>
      </c>
      <c r="B454" s="24" t="s">
        <v>438</v>
      </c>
      <c r="C454" s="24"/>
      <c r="D454" s="24"/>
      <c r="E454" s="24"/>
      <c r="F454" s="42">
        <f t="shared" ref="F454:G458" si="68">F455</f>
        <v>33920.699999999997</v>
      </c>
      <c r="G454" s="42">
        <f t="shared" si="68"/>
        <v>33920.699999999997</v>
      </c>
    </row>
    <row r="455" spans="1:7" s="39" customFormat="1" ht="15" x14ac:dyDescent="0.2">
      <c r="A455" s="61" t="s">
        <v>689</v>
      </c>
      <c r="B455" s="24" t="s">
        <v>96</v>
      </c>
      <c r="C455" s="24" t="s">
        <v>822</v>
      </c>
      <c r="D455" s="24"/>
      <c r="E455" s="24"/>
      <c r="F455" s="42">
        <f t="shared" si="68"/>
        <v>33920.699999999997</v>
      </c>
      <c r="G455" s="42">
        <f t="shared" si="68"/>
        <v>33920.699999999997</v>
      </c>
    </row>
    <row r="456" spans="1:7" s="39" customFormat="1" ht="15" x14ac:dyDescent="0.2">
      <c r="A456" s="61" t="s">
        <v>678</v>
      </c>
      <c r="B456" s="24" t="s">
        <v>96</v>
      </c>
      <c r="C456" s="24" t="s">
        <v>822</v>
      </c>
      <c r="D456" s="24" t="s">
        <v>214</v>
      </c>
      <c r="E456" s="24"/>
      <c r="F456" s="42">
        <f t="shared" si="68"/>
        <v>33920.699999999997</v>
      </c>
      <c r="G456" s="42">
        <f t="shared" si="68"/>
        <v>33920.699999999997</v>
      </c>
    </row>
    <row r="457" spans="1:7" s="39" customFormat="1" ht="24" x14ac:dyDescent="0.2">
      <c r="A457" s="85" t="s">
        <v>95</v>
      </c>
      <c r="B457" s="33" t="s">
        <v>96</v>
      </c>
      <c r="C457" s="33" t="s">
        <v>822</v>
      </c>
      <c r="D457" s="33" t="s">
        <v>214</v>
      </c>
      <c r="E457" s="25"/>
      <c r="F457" s="101">
        <f t="shared" si="68"/>
        <v>33920.699999999997</v>
      </c>
      <c r="G457" s="101">
        <f t="shared" si="68"/>
        <v>33920.699999999997</v>
      </c>
    </row>
    <row r="458" spans="1:7" s="39" customFormat="1" ht="24" x14ac:dyDescent="0.2">
      <c r="A458" s="84" t="s">
        <v>246</v>
      </c>
      <c r="B458" s="30" t="s">
        <v>96</v>
      </c>
      <c r="C458" s="30" t="s">
        <v>822</v>
      </c>
      <c r="D458" s="30" t="s">
        <v>214</v>
      </c>
      <c r="E458" s="30" t="s">
        <v>702</v>
      </c>
      <c r="F458" s="41">
        <f t="shared" si="68"/>
        <v>33920.699999999997</v>
      </c>
      <c r="G458" s="41">
        <f t="shared" si="68"/>
        <v>33920.699999999997</v>
      </c>
    </row>
    <row r="459" spans="1:7" s="39" customFormat="1" ht="15" x14ac:dyDescent="0.2">
      <c r="A459" s="84" t="s">
        <v>247</v>
      </c>
      <c r="B459" s="30" t="s">
        <v>96</v>
      </c>
      <c r="C459" s="30" t="s">
        <v>822</v>
      </c>
      <c r="D459" s="30" t="s">
        <v>214</v>
      </c>
      <c r="E459" s="30" t="s">
        <v>724</v>
      </c>
      <c r="F459" s="41">
        <v>33920.699999999997</v>
      </c>
      <c r="G459" s="41">
        <v>33920.699999999997</v>
      </c>
    </row>
    <row r="460" spans="1:7" s="39" customFormat="1" ht="24" x14ac:dyDescent="0.2">
      <c r="A460" s="80" t="s">
        <v>466</v>
      </c>
      <c r="B460" s="24" t="s">
        <v>436</v>
      </c>
      <c r="C460" s="24"/>
      <c r="D460" s="24"/>
      <c r="E460" s="24"/>
      <c r="F460" s="42">
        <f t="shared" ref="F460:G464" si="69">F461</f>
        <v>11087.1</v>
      </c>
      <c r="G460" s="42">
        <f t="shared" si="69"/>
        <v>11087.1</v>
      </c>
    </row>
    <row r="461" spans="1:7" s="39" customFormat="1" ht="15" x14ac:dyDescent="0.2">
      <c r="A461" s="61" t="s">
        <v>689</v>
      </c>
      <c r="B461" s="24" t="s">
        <v>94</v>
      </c>
      <c r="C461" s="24" t="s">
        <v>822</v>
      </c>
      <c r="D461" s="24"/>
      <c r="E461" s="24"/>
      <c r="F461" s="42">
        <f t="shared" si="69"/>
        <v>11087.1</v>
      </c>
      <c r="G461" s="42">
        <f t="shared" si="69"/>
        <v>11087.1</v>
      </c>
    </row>
    <row r="462" spans="1:7" s="39" customFormat="1" ht="15" x14ac:dyDescent="0.2">
      <c r="A462" s="61" t="s">
        <v>678</v>
      </c>
      <c r="B462" s="24" t="s">
        <v>94</v>
      </c>
      <c r="C462" s="24" t="s">
        <v>822</v>
      </c>
      <c r="D462" s="24" t="s">
        <v>214</v>
      </c>
      <c r="E462" s="24"/>
      <c r="F462" s="42">
        <f t="shared" si="69"/>
        <v>11087.1</v>
      </c>
      <c r="G462" s="42">
        <f t="shared" si="69"/>
        <v>11087.1</v>
      </c>
    </row>
    <row r="463" spans="1:7" s="39" customFormat="1" ht="15" x14ac:dyDescent="0.2">
      <c r="A463" s="85" t="s">
        <v>730</v>
      </c>
      <c r="B463" s="33" t="s">
        <v>94</v>
      </c>
      <c r="C463" s="33" t="s">
        <v>822</v>
      </c>
      <c r="D463" s="33" t="s">
        <v>214</v>
      </c>
      <c r="E463" s="33"/>
      <c r="F463" s="101">
        <f t="shared" si="69"/>
        <v>11087.1</v>
      </c>
      <c r="G463" s="101">
        <f t="shared" si="69"/>
        <v>11087.1</v>
      </c>
    </row>
    <row r="464" spans="1:7" s="39" customFormat="1" ht="24" x14ac:dyDescent="0.2">
      <c r="A464" s="84" t="s">
        <v>246</v>
      </c>
      <c r="B464" s="30" t="s">
        <v>94</v>
      </c>
      <c r="C464" s="30" t="s">
        <v>822</v>
      </c>
      <c r="D464" s="30" t="s">
        <v>214</v>
      </c>
      <c r="E464" s="30" t="s">
        <v>702</v>
      </c>
      <c r="F464" s="41">
        <f t="shared" si="69"/>
        <v>11087.1</v>
      </c>
      <c r="G464" s="41">
        <f t="shared" si="69"/>
        <v>11087.1</v>
      </c>
    </row>
    <row r="465" spans="1:7" s="39" customFormat="1" ht="15" x14ac:dyDescent="0.2">
      <c r="A465" s="84" t="s">
        <v>247</v>
      </c>
      <c r="B465" s="30" t="s">
        <v>94</v>
      </c>
      <c r="C465" s="30" t="s">
        <v>822</v>
      </c>
      <c r="D465" s="30" t="s">
        <v>214</v>
      </c>
      <c r="E465" s="30" t="s">
        <v>724</v>
      </c>
      <c r="F465" s="41">
        <v>11087.1</v>
      </c>
      <c r="G465" s="41">
        <v>11087.1</v>
      </c>
    </row>
    <row r="466" spans="1:7" s="39" customFormat="1" ht="24" x14ac:dyDescent="0.2">
      <c r="A466" s="80" t="s">
        <v>140</v>
      </c>
      <c r="B466" s="24" t="s">
        <v>437</v>
      </c>
      <c r="C466" s="24"/>
      <c r="D466" s="24"/>
      <c r="E466" s="24"/>
      <c r="F466" s="117">
        <f t="shared" ref="F466:G469" si="70">F467</f>
        <v>20000</v>
      </c>
      <c r="G466" s="117">
        <f t="shared" si="70"/>
        <v>15400</v>
      </c>
    </row>
    <row r="467" spans="1:7" s="39" customFormat="1" ht="15" x14ac:dyDescent="0.2">
      <c r="A467" s="61" t="s">
        <v>689</v>
      </c>
      <c r="B467" s="24" t="s">
        <v>437</v>
      </c>
      <c r="C467" s="24" t="s">
        <v>822</v>
      </c>
      <c r="D467" s="24"/>
      <c r="E467" s="24"/>
      <c r="F467" s="42">
        <f t="shared" si="70"/>
        <v>20000</v>
      </c>
      <c r="G467" s="42">
        <f t="shared" si="70"/>
        <v>15400</v>
      </c>
    </row>
    <row r="468" spans="1:7" s="39" customFormat="1" ht="15" x14ac:dyDescent="0.2">
      <c r="A468" s="61" t="s">
        <v>678</v>
      </c>
      <c r="B468" s="24" t="s">
        <v>437</v>
      </c>
      <c r="C468" s="24" t="s">
        <v>822</v>
      </c>
      <c r="D468" s="24" t="s">
        <v>214</v>
      </c>
      <c r="E468" s="24"/>
      <c r="F468" s="42">
        <f t="shared" si="70"/>
        <v>20000</v>
      </c>
      <c r="G468" s="42">
        <f t="shared" si="70"/>
        <v>15400</v>
      </c>
    </row>
    <row r="469" spans="1:7" s="39" customFormat="1" ht="24" x14ac:dyDescent="0.2">
      <c r="A469" s="84" t="s">
        <v>246</v>
      </c>
      <c r="B469" s="30" t="s">
        <v>437</v>
      </c>
      <c r="C469" s="30" t="s">
        <v>822</v>
      </c>
      <c r="D469" s="30" t="s">
        <v>214</v>
      </c>
      <c r="E469" s="30" t="s">
        <v>702</v>
      </c>
      <c r="F469" s="118">
        <f t="shared" si="70"/>
        <v>20000</v>
      </c>
      <c r="G469" s="118">
        <f t="shared" si="70"/>
        <v>15400</v>
      </c>
    </row>
    <row r="470" spans="1:7" s="39" customFormat="1" ht="15" x14ac:dyDescent="0.2">
      <c r="A470" s="84" t="s">
        <v>247</v>
      </c>
      <c r="B470" s="30" t="s">
        <v>437</v>
      </c>
      <c r="C470" s="30" t="s">
        <v>822</v>
      </c>
      <c r="D470" s="30" t="s">
        <v>214</v>
      </c>
      <c r="E470" s="30" t="s">
        <v>724</v>
      </c>
      <c r="F470" s="118">
        <v>20000</v>
      </c>
      <c r="G470" s="118">
        <v>15400</v>
      </c>
    </row>
    <row r="471" spans="1:7" s="39" customFormat="1" ht="24" x14ac:dyDescent="0.2">
      <c r="A471" s="80" t="s">
        <v>440</v>
      </c>
      <c r="B471" s="24" t="s">
        <v>442</v>
      </c>
      <c r="C471" s="24"/>
      <c r="D471" s="24"/>
      <c r="E471" s="24"/>
      <c r="F471" s="42">
        <f>F472</f>
        <v>4163.8</v>
      </c>
      <c r="G471" s="42">
        <f>G472</f>
        <v>4163.8</v>
      </c>
    </row>
    <row r="472" spans="1:7" s="39" customFormat="1" ht="24" x14ac:dyDescent="0.2">
      <c r="A472" s="80" t="s">
        <v>441</v>
      </c>
      <c r="B472" s="24" t="s">
        <v>442</v>
      </c>
      <c r="C472" s="24"/>
      <c r="D472" s="24"/>
      <c r="E472" s="24"/>
      <c r="F472" s="42">
        <f>F473</f>
        <v>4163.8</v>
      </c>
      <c r="G472" s="42">
        <f>G473</f>
        <v>4163.8</v>
      </c>
    </row>
    <row r="473" spans="1:7" s="39" customFormat="1" ht="24" x14ac:dyDescent="0.2">
      <c r="A473" s="83" t="s">
        <v>704</v>
      </c>
      <c r="B473" s="33" t="s">
        <v>442</v>
      </c>
      <c r="C473" s="25"/>
      <c r="D473" s="25"/>
      <c r="E473" s="25"/>
      <c r="F473" s="45">
        <f>F474+F479</f>
        <v>4163.8</v>
      </c>
      <c r="G473" s="45">
        <f>G474+G479</f>
        <v>4163.8</v>
      </c>
    </row>
    <row r="474" spans="1:7" s="39" customFormat="1" ht="15" x14ac:dyDescent="0.2">
      <c r="A474" s="82" t="s">
        <v>685</v>
      </c>
      <c r="B474" s="24" t="s">
        <v>210</v>
      </c>
      <c r="C474" s="24"/>
      <c r="D474" s="24"/>
      <c r="E474" s="24"/>
      <c r="F474" s="42">
        <f t="shared" ref="F474:G477" si="71">F475</f>
        <v>3775</v>
      </c>
      <c r="G474" s="42">
        <f t="shared" si="71"/>
        <v>3775</v>
      </c>
    </row>
    <row r="475" spans="1:7" s="39" customFormat="1" ht="15" x14ac:dyDescent="0.2">
      <c r="A475" s="61" t="s">
        <v>689</v>
      </c>
      <c r="B475" s="24" t="s">
        <v>210</v>
      </c>
      <c r="C475" s="24" t="s">
        <v>822</v>
      </c>
      <c r="D475" s="24"/>
      <c r="E475" s="24"/>
      <c r="F475" s="42">
        <f t="shared" si="71"/>
        <v>3775</v>
      </c>
      <c r="G475" s="42">
        <f t="shared" si="71"/>
        <v>3775</v>
      </c>
    </row>
    <row r="476" spans="1:7" s="39" customFormat="1" ht="15" x14ac:dyDescent="0.2">
      <c r="A476" s="61" t="s">
        <v>799</v>
      </c>
      <c r="B476" s="24" t="s">
        <v>210</v>
      </c>
      <c r="C476" s="24" t="s">
        <v>822</v>
      </c>
      <c r="D476" s="24" t="s">
        <v>216</v>
      </c>
      <c r="E476" s="24"/>
      <c r="F476" s="42">
        <f t="shared" si="71"/>
        <v>3775</v>
      </c>
      <c r="G476" s="42">
        <f t="shared" si="71"/>
        <v>3775</v>
      </c>
    </row>
    <row r="477" spans="1:7" s="39" customFormat="1" ht="36" x14ac:dyDescent="0.2">
      <c r="A477" s="84" t="s">
        <v>217</v>
      </c>
      <c r="B477" s="30" t="s">
        <v>210</v>
      </c>
      <c r="C477" s="30" t="s">
        <v>822</v>
      </c>
      <c r="D477" s="30" t="s">
        <v>216</v>
      </c>
      <c r="E477" s="30" t="s">
        <v>218</v>
      </c>
      <c r="F477" s="41">
        <f t="shared" si="71"/>
        <v>3775</v>
      </c>
      <c r="G477" s="41">
        <f t="shared" si="71"/>
        <v>3775</v>
      </c>
    </row>
    <row r="478" spans="1:7" s="39" customFormat="1" ht="15" x14ac:dyDescent="0.2">
      <c r="A478" s="84" t="s">
        <v>219</v>
      </c>
      <c r="B478" s="30" t="s">
        <v>210</v>
      </c>
      <c r="C478" s="30" t="s">
        <v>822</v>
      </c>
      <c r="D478" s="30" t="s">
        <v>216</v>
      </c>
      <c r="E478" s="30" t="s">
        <v>224</v>
      </c>
      <c r="F478" s="41">
        <v>3775</v>
      </c>
      <c r="G478" s="41">
        <v>3775</v>
      </c>
    </row>
    <row r="479" spans="1:7" s="39" customFormat="1" ht="15" x14ac:dyDescent="0.2">
      <c r="A479" s="80" t="s">
        <v>225</v>
      </c>
      <c r="B479" s="24" t="s">
        <v>211</v>
      </c>
      <c r="C479" s="24"/>
      <c r="D479" s="24"/>
      <c r="E479" s="24"/>
      <c r="F479" s="42">
        <f>F480</f>
        <v>388.8</v>
      </c>
      <c r="G479" s="42">
        <f>G480</f>
        <v>388.8</v>
      </c>
    </row>
    <row r="480" spans="1:7" s="39" customFormat="1" ht="15" x14ac:dyDescent="0.2">
      <c r="A480" s="61" t="s">
        <v>689</v>
      </c>
      <c r="B480" s="24" t="s">
        <v>211</v>
      </c>
      <c r="C480" s="24" t="s">
        <v>822</v>
      </c>
      <c r="D480" s="24"/>
      <c r="E480" s="24"/>
      <c r="F480" s="42">
        <f>F481</f>
        <v>388.8</v>
      </c>
      <c r="G480" s="42">
        <f>G481</f>
        <v>388.8</v>
      </c>
    </row>
    <row r="481" spans="1:7" s="39" customFormat="1" ht="15" x14ac:dyDescent="0.2">
      <c r="A481" s="61" t="s">
        <v>799</v>
      </c>
      <c r="B481" s="24" t="s">
        <v>211</v>
      </c>
      <c r="C481" s="24" t="s">
        <v>822</v>
      </c>
      <c r="D481" s="24" t="s">
        <v>216</v>
      </c>
      <c r="E481" s="24"/>
      <c r="F481" s="42">
        <f>F482+F484</f>
        <v>388.8</v>
      </c>
      <c r="G481" s="42">
        <f>G482+G484</f>
        <v>388.8</v>
      </c>
    </row>
    <row r="482" spans="1:7" s="39" customFormat="1" ht="15" x14ac:dyDescent="0.2">
      <c r="A482" s="84" t="s">
        <v>473</v>
      </c>
      <c r="B482" s="30" t="s">
        <v>211</v>
      </c>
      <c r="C482" s="30" t="s">
        <v>822</v>
      </c>
      <c r="D482" s="30" t="s">
        <v>216</v>
      </c>
      <c r="E482" s="30" t="s">
        <v>226</v>
      </c>
      <c r="F482" s="41">
        <f>F483</f>
        <v>248.8</v>
      </c>
      <c r="G482" s="41">
        <f>G483</f>
        <v>248.8</v>
      </c>
    </row>
    <row r="483" spans="1:7" s="39" customFormat="1" ht="15" x14ac:dyDescent="0.2">
      <c r="A483" s="84" t="s">
        <v>227</v>
      </c>
      <c r="B483" s="30" t="s">
        <v>211</v>
      </c>
      <c r="C483" s="30" t="s">
        <v>822</v>
      </c>
      <c r="D483" s="30" t="s">
        <v>216</v>
      </c>
      <c r="E483" s="30" t="s">
        <v>228</v>
      </c>
      <c r="F483" s="41">
        <v>248.8</v>
      </c>
      <c r="G483" s="41">
        <v>248.8</v>
      </c>
    </row>
    <row r="484" spans="1:7" s="39" customFormat="1" ht="15" x14ac:dyDescent="0.2">
      <c r="A484" s="84" t="s">
        <v>229</v>
      </c>
      <c r="B484" s="30" t="s">
        <v>211</v>
      </c>
      <c r="C484" s="30" t="s">
        <v>822</v>
      </c>
      <c r="D484" s="30" t="s">
        <v>216</v>
      </c>
      <c r="E484" s="30" t="s">
        <v>230</v>
      </c>
      <c r="F484" s="41">
        <f>F485</f>
        <v>140</v>
      </c>
      <c r="G484" s="41">
        <f>G485</f>
        <v>140</v>
      </c>
    </row>
    <row r="485" spans="1:7" s="39" customFormat="1" ht="15" x14ac:dyDescent="0.2">
      <c r="A485" s="84" t="s">
        <v>106</v>
      </c>
      <c r="B485" s="30" t="s">
        <v>211</v>
      </c>
      <c r="C485" s="30" t="s">
        <v>822</v>
      </c>
      <c r="D485" s="30" t="s">
        <v>216</v>
      </c>
      <c r="E485" s="30" t="s">
        <v>231</v>
      </c>
      <c r="F485" s="41">
        <v>140</v>
      </c>
      <c r="G485" s="41">
        <v>140</v>
      </c>
    </row>
    <row r="486" spans="1:7" s="39" customFormat="1" ht="27" x14ac:dyDescent="0.2">
      <c r="A486" s="152" t="s">
        <v>65</v>
      </c>
      <c r="B486" s="154" t="s">
        <v>410</v>
      </c>
      <c r="C486" s="154"/>
      <c r="D486" s="154"/>
      <c r="E486" s="154"/>
      <c r="F486" s="156">
        <f>F487+F498+F504+F520+F526+F537+F542</f>
        <v>216225</v>
      </c>
      <c r="G486" s="156">
        <f>G487+G498+G504+G520+G526+G537+G542</f>
        <v>175625</v>
      </c>
    </row>
    <row r="487" spans="1:7" s="39" customFormat="1" ht="15" x14ac:dyDescent="0.2">
      <c r="A487" s="80" t="s">
        <v>197</v>
      </c>
      <c r="B487" s="24" t="s">
        <v>413</v>
      </c>
      <c r="C487" s="24"/>
      <c r="D487" s="24"/>
      <c r="E487" s="24"/>
      <c r="F487" s="42">
        <f>F488+F493</f>
        <v>6000</v>
      </c>
      <c r="G487" s="42">
        <f>G488+G493</f>
        <v>6000</v>
      </c>
    </row>
    <row r="488" spans="1:7" s="39" customFormat="1" ht="15" x14ac:dyDescent="0.2">
      <c r="A488" s="80" t="s">
        <v>585</v>
      </c>
      <c r="B488" s="24" t="s">
        <v>586</v>
      </c>
      <c r="C488" s="24"/>
      <c r="D488" s="24"/>
      <c r="E488" s="24"/>
      <c r="F488" s="117">
        <f t="shared" ref="F488:G491" si="72">F489</f>
        <v>1000</v>
      </c>
      <c r="G488" s="117">
        <f t="shared" si="72"/>
        <v>1000</v>
      </c>
    </row>
    <row r="489" spans="1:7" s="39" customFormat="1" ht="15" x14ac:dyDescent="0.2">
      <c r="A489" s="61" t="s">
        <v>667</v>
      </c>
      <c r="B489" s="24" t="s">
        <v>586</v>
      </c>
      <c r="C489" s="24" t="s">
        <v>731</v>
      </c>
      <c r="D489" s="24"/>
      <c r="E489" s="24"/>
      <c r="F489" s="117">
        <f t="shared" si="72"/>
        <v>1000</v>
      </c>
      <c r="G489" s="117">
        <f t="shared" si="72"/>
        <v>1000</v>
      </c>
    </row>
    <row r="490" spans="1:7" s="39" customFormat="1" ht="15" x14ac:dyDescent="0.2">
      <c r="A490" s="61" t="s">
        <v>668</v>
      </c>
      <c r="B490" s="24" t="s">
        <v>586</v>
      </c>
      <c r="C490" s="24" t="s">
        <v>731</v>
      </c>
      <c r="D490" s="24" t="s">
        <v>214</v>
      </c>
      <c r="E490" s="24"/>
      <c r="F490" s="117">
        <f t="shared" si="72"/>
        <v>1000</v>
      </c>
      <c r="G490" s="117">
        <f t="shared" si="72"/>
        <v>1000</v>
      </c>
    </row>
    <row r="491" spans="1:7" s="39" customFormat="1" ht="15" x14ac:dyDescent="0.2">
      <c r="A491" s="84" t="s">
        <v>473</v>
      </c>
      <c r="B491" s="30" t="s">
        <v>586</v>
      </c>
      <c r="C491" s="30" t="s">
        <v>731</v>
      </c>
      <c r="D491" s="30" t="s">
        <v>214</v>
      </c>
      <c r="E491" s="30" t="s">
        <v>226</v>
      </c>
      <c r="F491" s="118">
        <f t="shared" si="72"/>
        <v>1000</v>
      </c>
      <c r="G491" s="118">
        <f t="shared" si="72"/>
        <v>1000</v>
      </c>
    </row>
    <row r="492" spans="1:7" s="39" customFormat="1" ht="15" x14ac:dyDescent="0.2">
      <c r="A492" s="84" t="s">
        <v>227</v>
      </c>
      <c r="B492" s="30" t="s">
        <v>586</v>
      </c>
      <c r="C492" s="30" t="s">
        <v>731</v>
      </c>
      <c r="D492" s="30" t="s">
        <v>214</v>
      </c>
      <c r="E492" s="30" t="s">
        <v>228</v>
      </c>
      <c r="F492" s="118">
        <v>1000</v>
      </c>
      <c r="G492" s="118">
        <v>1000</v>
      </c>
    </row>
    <row r="493" spans="1:7" s="39" customFormat="1" ht="15" x14ac:dyDescent="0.2">
      <c r="A493" s="75" t="s">
        <v>414</v>
      </c>
      <c r="B493" s="104" t="s">
        <v>67</v>
      </c>
      <c r="C493" s="24"/>
      <c r="D493" s="24"/>
      <c r="E493" s="24"/>
      <c r="F493" s="42">
        <f t="shared" ref="F493:G496" si="73">F494</f>
        <v>5000</v>
      </c>
      <c r="G493" s="42">
        <f t="shared" si="73"/>
        <v>5000</v>
      </c>
    </row>
    <row r="494" spans="1:7" s="39" customFormat="1" ht="15" x14ac:dyDescent="0.2">
      <c r="A494" s="61" t="s">
        <v>667</v>
      </c>
      <c r="B494" s="24" t="s">
        <v>67</v>
      </c>
      <c r="C494" s="24" t="s">
        <v>731</v>
      </c>
      <c r="D494" s="24"/>
      <c r="E494" s="24"/>
      <c r="F494" s="42">
        <f t="shared" si="73"/>
        <v>5000</v>
      </c>
      <c r="G494" s="42">
        <f t="shared" si="73"/>
        <v>5000</v>
      </c>
    </row>
    <row r="495" spans="1:7" s="39" customFormat="1" ht="15" x14ac:dyDescent="0.2">
      <c r="A495" s="61" t="s">
        <v>668</v>
      </c>
      <c r="B495" s="24" t="s">
        <v>67</v>
      </c>
      <c r="C495" s="24" t="s">
        <v>731</v>
      </c>
      <c r="D495" s="24" t="s">
        <v>214</v>
      </c>
      <c r="E495" s="24"/>
      <c r="F495" s="42">
        <f t="shared" si="73"/>
        <v>5000</v>
      </c>
      <c r="G495" s="42">
        <f t="shared" si="73"/>
        <v>5000</v>
      </c>
    </row>
    <row r="496" spans="1:7" s="39" customFormat="1" ht="15" x14ac:dyDescent="0.2">
      <c r="A496" s="84" t="s">
        <v>473</v>
      </c>
      <c r="B496" s="30" t="s">
        <v>67</v>
      </c>
      <c r="C496" s="30" t="s">
        <v>731</v>
      </c>
      <c r="D496" s="30" t="s">
        <v>214</v>
      </c>
      <c r="E496" s="30" t="s">
        <v>226</v>
      </c>
      <c r="F496" s="41">
        <f t="shared" si="73"/>
        <v>5000</v>
      </c>
      <c r="G496" s="41">
        <f t="shared" si="73"/>
        <v>5000</v>
      </c>
    </row>
    <row r="497" spans="1:7" s="39" customFormat="1" ht="15" x14ac:dyDescent="0.2">
      <c r="A497" s="84" t="s">
        <v>227</v>
      </c>
      <c r="B497" s="30" t="s">
        <v>67</v>
      </c>
      <c r="C497" s="30" t="s">
        <v>731</v>
      </c>
      <c r="D497" s="30" t="s">
        <v>214</v>
      </c>
      <c r="E497" s="30" t="s">
        <v>228</v>
      </c>
      <c r="F497" s="41">
        <v>5000</v>
      </c>
      <c r="G497" s="41">
        <v>5000</v>
      </c>
    </row>
    <row r="498" spans="1:7" s="39" customFormat="1" ht="15" x14ac:dyDescent="0.2">
      <c r="A498" s="80" t="s">
        <v>412</v>
      </c>
      <c r="B498" s="24" t="s">
        <v>411</v>
      </c>
      <c r="C498" s="24"/>
      <c r="D498" s="24"/>
      <c r="E498" s="30"/>
      <c r="F498" s="42">
        <f t="shared" ref="F498:G502" si="74">F499</f>
        <v>2000</v>
      </c>
      <c r="G498" s="42">
        <f t="shared" si="74"/>
        <v>2000</v>
      </c>
    </row>
    <row r="499" spans="1:7" s="39" customFormat="1" ht="15" x14ac:dyDescent="0.2">
      <c r="A499" s="128" t="s">
        <v>718</v>
      </c>
      <c r="B499" s="104" t="s">
        <v>66</v>
      </c>
      <c r="C499" s="24"/>
      <c r="D499" s="24"/>
      <c r="E499" s="24"/>
      <c r="F499" s="42">
        <f t="shared" si="74"/>
        <v>2000</v>
      </c>
      <c r="G499" s="42">
        <f t="shared" si="74"/>
        <v>2000</v>
      </c>
    </row>
    <row r="500" spans="1:7" s="39" customFormat="1" ht="15" x14ac:dyDescent="0.2">
      <c r="A500" s="61" t="s">
        <v>655</v>
      </c>
      <c r="B500" s="24" t="s">
        <v>66</v>
      </c>
      <c r="C500" s="24" t="s">
        <v>216</v>
      </c>
      <c r="D500" s="24"/>
      <c r="E500" s="30"/>
      <c r="F500" s="42">
        <f t="shared" si="74"/>
        <v>2000</v>
      </c>
      <c r="G500" s="42">
        <f t="shared" si="74"/>
        <v>2000</v>
      </c>
    </row>
    <row r="501" spans="1:7" s="39" customFormat="1" ht="15" x14ac:dyDescent="0.2">
      <c r="A501" s="61" t="s">
        <v>698</v>
      </c>
      <c r="B501" s="24" t="s">
        <v>66</v>
      </c>
      <c r="C501" s="24" t="s">
        <v>216</v>
      </c>
      <c r="D501" s="24" t="s">
        <v>823</v>
      </c>
      <c r="E501" s="30"/>
      <c r="F501" s="42">
        <f t="shared" si="74"/>
        <v>2000</v>
      </c>
      <c r="G501" s="42">
        <f t="shared" si="74"/>
        <v>2000</v>
      </c>
    </row>
    <row r="502" spans="1:7" s="39" customFormat="1" ht="15" x14ac:dyDescent="0.2">
      <c r="A502" s="84" t="s">
        <v>473</v>
      </c>
      <c r="B502" s="30" t="s">
        <v>66</v>
      </c>
      <c r="C502" s="30" t="s">
        <v>216</v>
      </c>
      <c r="D502" s="30" t="s">
        <v>823</v>
      </c>
      <c r="E502" s="30" t="s">
        <v>226</v>
      </c>
      <c r="F502" s="41">
        <f t="shared" si="74"/>
        <v>2000</v>
      </c>
      <c r="G502" s="41">
        <f t="shared" si="74"/>
        <v>2000</v>
      </c>
    </row>
    <row r="503" spans="1:7" s="39" customFormat="1" ht="15" x14ac:dyDescent="0.2">
      <c r="A503" s="84" t="s">
        <v>227</v>
      </c>
      <c r="B503" s="30" t="s">
        <v>66</v>
      </c>
      <c r="C503" s="30" t="s">
        <v>216</v>
      </c>
      <c r="D503" s="30" t="s">
        <v>823</v>
      </c>
      <c r="E503" s="30" t="s">
        <v>228</v>
      </c>
      <c r="F503" s="41">
        <v>2000</v>
      </c>
      <c r="G503" s="41">
        <v>2000</v>
      </c>
    </row>
    <row r="504" spans="1:7" s="39" customFormat="1" ht="24" x14ac:dyDescent="0.2">
      <c r="A504" s="80" t="s">
        <v>274</v>
      </c>
      <c r="B504" s="24" t="s">
        <v>416</v>
      </c>
      <c r="C504" s="24"/>
      <c r="D504" s="24"/>
      <c r="E504" s="24"/>
      <c r="F504" s="42">
        <f>F505+F510+F515</f>
        <v>14500</v>
      </c>
      <c r="G504" s="42">
        <f>G505+G510+G515</f>
        <v>3000</v>
      </c>
    </row>
    <row r="505" spans="1:7" s="39" customFormat="1" ht="15" x14ac:dyDescent="0.2">
      <c r="A505" s="80" t="s">
        <v>587</v>
      </c>
      <c r="B505" s="24" t="s">
        <v>588</v>
      </c>
      <c r="C505" s="24"/>
      <c r="D505" s="24"/>
      <c r="E505" s="30"/>
      <c r="F505" s="117">
        <f t="shared" ref="F505:G508" si="75">F506</f>
        <v>12500</v>
      </c>
      <c r="G505" s="117">
        <f t="shared" si="75"/>
        <v>1000</v>
      </c>
    </row>
    <row r="506" spans="1:7" s="39" customFormat="1" ht="15" x14ac:dyDescent="0.2">
      <c r="A506" s="61" t="s">
        <v>667</v>
      </c>
      <c r="B506" s="24" t="s">
        <v>588</v>
      </c>
      <c r="C506" s="24" t="s">
        <v>731</v>
      </c>
      <c r="D506" s="30"/>
      <c r="E506" s="30"/>
      <c r="F506" s="117">
        <f t="shared" si="75"/>
        <v>12500</v>
      </c>
      <c r="G506" s="117">
        <f t="shared" si="75"/>
        <v>1000</v>
      </c>
    </row>
    <row r="507" spans="1:7" s="39" customFormat="1" ht="15" x14ac:dyDescent="0.2">
      <c r="A507" s="61" t="s">
        <v>669</v>
      </c>
      <c r="B507" s="24" t="s">
        <v>588</v>
      </c>
      <c r="C507" s="24" t="s">
        <v>731</v>
      </c>
      <c r="D507" s="24" t="s">
        <v>825</v>
      </c>
      <c r="E507" s="30"/>
      <c r="F507" s="117">
        <f t="shared" si="75"/>
        <v>12500</v>
      </c>
      <c r="G507" s="117">
        <f t="shared" si="75"/>
        <v>1000</v>
      </c>
    </row>
    <row r="508" spans="1:7" s="39" customFormat="1" ht="24" x14ac:dyDescent="0.2">
      <c r="A508" s="84" t="s">
        <v>732</v>
      </c>
      <c r="B508" s="30" t="s">
        <v>588</v>
      </c>
      <c r="C508" s="52" t="s">
        <v>731</v>
      </c>
      <c r="D508" s="52" t="s">
        <v>825</v>
      </c>
      <c r="E508" s="30" t="s">
        <v>733</v>
      </c>
      <c r="F508" s="118">
        <f t="shared" si="75"/>
        <v>12500</v>
      </c>
      <c r="G508" s="118">
        <f t="shared" si="75"/>
        <v>1000</v>
      </c>
    </row>
    <row r="509" spans="1:7" s="39" customFormat="1" ht="15" x14ac:dyDescent="0.2">
      <c r="A509" s="84" t="s">
        <v>734</v>
      </c>
      <c r="B509" s="30" t="s">
        <v>588</v>
      </c>
      <c r="C509" s="30" t="s">
        <v>731</v>
      </c>
      <c r="D509" s="30" t="s">
        <v>825</v>
      </c>
      <c r="E509" s="30" t="s">
        <v>735</v>
      </c>
      <c r="F509" s="118">
        <f>1000+11500</f>
        <v>12500</v>
      </c>
      <c r="G509" s="118">
        <v>1000</v>
      </c>
    </row>
    <row r="510" spans="1:7" s="39" customFormat="1" ht="24" x14ac:dyDescent="0.2">
      <c r="A510" s="80" t="s">
        <v>717</v>
      </c>
      <c r="B510" s="24" t="s">
        <v>76</v>
      </c>
      <c r="C510" s="24"/>
      <c r="D510" s="24"/>
      <c r="E510" s="24"/>
      <c r="F510" s="117">
        <f t="shared" ref="F510:G513" si="76">F511</f>
        <v>1000</v>
      </c>
      <c r="G510" s="117">
        <f t="shared" si="76"/>
        <v>1000</v>
      </c>
    </row>
    <row r="511" spans="1:7" s="39" customFormat="1" ht="15" x14ac:dyDescent="0.2">
      <c r="A511" s="61" t="s">
        <v>667</v>
      </c>
      <c r="B511" s="24" t="s">
        <v>76</v>
      </c>
      <c r="C511" s="24" t="s">
        <v>731</v>
      </c>
      <c r="D511" s="30"/>
      <c r="E511" s="30"/>
      <c r="F511" s="42">
        <f t="shared" si="76"/>
        <v>1000</v>
      </c>
      <c r="G511" s="42">
        <f t="shared" si="76"/>
        <v>1000</v>
      </c>
    </row>
    <row r="512" spans="1:7" s="39" customFormat="1" ht="15" x14ac:dyDescent="0.2">
      <c r="A512" s="61" t="s">
        <v>669</v>
      </c>
      <c r="B512" s="24" t="s">
        <v>76</v>
      </c>
      <c r="C512" s="24" t="s">
        <v>731</v>
      </c>
      <c r="D512" s="24" t="s">
        <v>825</v>
      </c>
      <c r="E512" s="30"/>
      <c r="F512" s="42">
        <f t="shared" si="76"/>
        <v>1000</v>
      </c>
      <c r="G512" s="42">
        <f t="shared" si="76"/>
        <v>1000</v>
      </c>
    </row>
    <row r="513" spans="1:7" s="39" customFormat="1" ht="15" x14ac:dyDescent="0.2">
      <c r="A513" s="84" t="s">
        <v>473</v>
      </c>
      <c r="B513" s="30" t="s">
        <v>76</v>
      </c>
      <c r="C513" s="30" t="s">
        <v>731</v>
      </c>
      <c r="D513" s="30" t="s">
        <v>825</v>
      </c>
      <c r="E513" s="30" t="s">
        <v>226</v>
      </c>
      <c r="F513" s="118">
        <f t="shared" si="76"/>
        <v>1000</v>
      </c>
      <c r="G513" s="118">
        <f t="shared" si="76"/>
        <v>1000</v>
      </c>
    </row>
    <row r="514" spans="1:7" s="39" customFormat="1" ht="15" x14ac:dyDescent="0.2">
      <c r="A514" s="84" t="s">
        <v>227</v>
      </c>
      <c r="B514" s="30" t="s">
        <v>76</v>
      </c>
      <c r="C514" s="30" t="s">
        <v>731</v>
      </c>
      <c r="D514" s="30" t="s">
        <v>825</v>
      </c>
      <c r="E514" s="30" t="s">
        <v>228</v>
      </c>
      <c r="F514" s="118">
        <v>1000</v>
      </c>
      <c r="G514" s="118">
        <v>1000</v>
      </c>
    </row>
    <row r="515" spans="1:7" s="39" customFormat="1" ht="24" x14ac:dyDescent="0.2">
      <c r="A515" s="80" t="s">
        <v>77</v>
      </c>
      <c r="B515" s="24" t="s">
        <v>78</v>
      </c>
      <c r="C515" s="24"/>
      <c r="D515" s="24"/>
      <c r="E515" s="24"/>
      <c r="F515" s="117">
        <f t="shared" ref="F515:G518" si="77">F516</f>
        <v>1000</v>
      </c>
      <c r="G515" s="117">
        <f t="shared" si="77"/>
        <v>1000</v>
      </c>
    </row>
    <row r="516" spans="1:7" s="39" customFormat="1" ht="15" x14ac:dyDescent="0.2">
      <c r="A516" s="61" t="s">
        <v>667</v>
      </c>
      <c r="B516" s="24" t="s">
        <v>78</v>
      </c>
      <c r="C516" s="24" t="s">
        <v>731</v>
      </c>
      <c r="D516" s="30"/>
      <c r="E516" s="30"/>
      <c r="F516" s="42">
        <f t="shared" si="77"/>
        <v>1000</v>
      </c>
      <c r="G516" s="42">
        <f t="shared" si="77"/>
        <v>1000</v>
      </c>
    </row>
    <row r="517" spans="1:7" s="39" customFormat="1" ht="15" x14ac:dyDescent="0.2">
      <c r="A517" s="61" t="s">
        <v>669</v>
      </c>
      <c r="B517" s="24" t="s">
        <v>78</v>
      </c>
      <c r="C517" s="24" t="s">
        <v>731</v>
      </c>
      <c r="D517" s="24" t="s">
        <v>825</v>
      </c>
      <c r="E517" s="30"/>
      <c r="F517" s="42">
        <f t="shared" si="77"/>
        <v>1000</v>
      </c>
      <c r="G517" s="42">
        <f t="shared" si="77"/>
        <v>1000</v>
      </c>
    </row>
    <row r="518" spans="1:7" s="39" customFormat="1" ht="15" x14ac:dyDescent="0.2">
      <c r="A518" s="84" t="s">
        <v>473</v>
      </c>
      <c r="B518" s="30" t="s">
        <v>78</v>
      </c>
      <c r="C518" s="30" t="s">
        <v>731</v>
      </c>
      <c r="D518" s="30" t="s">
        <v>825</v>
      </c>
      <c r="E518" s="30" t="s">
        <v>226</v>
      </c>
      <c r="F518" s="118">
        <f t="shared" si="77"/>
        <v>1000</v>
      </c>
      <c r="G518" s="118">
        <f t="shared" si="77"/>
        <v>1000</v>
      </c>
    </row>
    <row r="519" spans="1:7" s="39" customFormat="1" ht="15" x14ac:dyDescent="0.2">
      <c r="A519" s="84" t="s">
        <v>227</v>
      </c>
      <c r="B519" s="30" t="s">
        <v>78</v>
      </c>
      <c r="C519" s="30" t="s">
        <v>731</v>
      </c>
      <c r="D519" s="30" t="s">
        <v>825</v>
      </c>
      <c r="E519" s="30" t="s">
        <v>228</v>
      </c>
      <c r="F519" s="118">
        <v>1000</v>
      </c>
      <c r="G519" s="118">
        <v>1000</v>
      </c>
    </row>
    <row r="520" spans="1:7" s="39" customFormat="1" ht="24" x14ac:dyDescent="0.2">
      <c r="A520" s="80" t="s">
        <v>719</v>
      </c>
      <c r="B520" s="24" t="s">
        <v>308</v>
      </c>
      <c r="C520" s="24"/>
      <c r="D520" s="24"/>
      <c r="E520" s="30"/>
      <c r="F520" s="42">
        <f t="shared" ref="F520:G522" si="78">F521</f>
        <v>26800</v>
      </c>
      <c r="G520" s="42">
        <f t="shared" si="78"/>
        <v>10000</v>
      </c>
    </row>
    <row r="521" spans="1:7" s="39" customFormat="1" ht="24" x14ac:dyDescent="0.2">
      <c r="A521" s="80" t="s">
        <v>720</v>
      </c>
      <c r="B521" s="24" t="s">
        <v>74</v>
      </c>
      <c r="C521" s="24"/>
      <c r="D521" s="24"/>
      <c r="E521" s="30"/>
      <c r="F521" s="42">
        <f t="shared" si="78"/>
        <v>26800</v>
      </c>
      <c r="G521" s="42">
        <f t="shared" si="78"/>
        <v>10000</v>
      </c>
    </row>
    <row r="522" spans="1:7" s="39" customFormat="1" ht="15" x14ac:dyDescent="0.2">
      <c r="A522" s="61" t="s">
        <v>667</v>
      </c>
      <c r="B522" s="24" t="s">
        <v>74</v>
      </c>
      <c r="C522" s="24" t="s">
        <v>731</v>
      </c>
      <c r="D522" s="30"/>
      <c r="E522" s="30"/>
      <c r="F522" s="42">
        <f t="shared" si="78"/>
        <v>26800</v>
      </c>
      <c r="G522" s="42">
        <f t="shared" si="78"/>
        <v>10000</v>
      </c>
    </row>
    <row r="523" spans="1:7" s="39" customFormat="1" ht="15" x14ac:dyDescent="0.2">
      <c r="A523" s="61" t="s">
        <v>669</v>
      </c>
      <c r="B523" s="24" t="s">
        <v>74</v>
      </c>
      <c r="C523" s="24" t="s">
        <v>731</v>
      </c>
      <c r="D523" s="24" t="s">
        <v>825</v>
      </c>
      <c r="E523" s="30"/>
      <c r="F523" s="42">
        <f>F524</f>
        <v>26800</v>
      </c>
      <c r="G523" s="42">
        <f>G524</f>
        <v>10000</v>
      </c>
    </row>
    <row r="524" spans="1:7" s="39" customFormat="1" ht="24" x14ac:dyDescent="0.2">
      <c r="A524" s="84" t="s">
        <v>732</v>
      </c>
      <c r="B524" s="30" t="s">
        <v>74</v>
      </c>
      <c r="C524" s="52" t="s">
        <v>731</v>
      </c>
      <c r="D524" s="52" t="s">
        <v>825</v>
      </c>
      <c r="E524" s="30" t="s">
        <v>733</v>
      </c>
      <c r="F524" s="41">
        <f>F525</f>
        <v>26800</v>
      </c>
      <c r="G524" s="41">
        <f>G525</f>
        <v>10000</v>
      </c>
    </row>
    <row r="525" spans="1:7" s="39" customFormat="1" ht="15" x14ac:dyDescent="0.2">
      <c r="A525" s="84" t="s">
        <v>734</v>
      </c>
      <c r="B525" s="30" t="s">
        <v>74</v>
      </c>
      <c r="C525" s="30" t="s">
        <v>731</v>
      </c>
      <c r="D525" s="30" t="s">
        <v>825</v>
      </c>
      <c r="E525" s="30" t="s">
        <v>735</v>
      </c>
      <c r="F525" s="41">
        <f>30800-4000</f>
        <v>26800</v>
      </c>
      <c r="G525" s="41">
        <v>10000</v>
      </c>
    </row>
    <row r="526" spans="1:7" s="39" customFormat="1" ht="15" x14ac:dyDescent="0.2">
      <c r="A526" s="80" t="s">
        <v>68</v>
      </c>
      <c r="B526" s="24" t="s">
        <v>69</v>
      </c>
      <c r="C526" s="24"/>
      <c r="D526" s="24"/>
      <c r="E526" s="30"/>
      <c r="F526" s="42">
        <f>F527+F532</f>
        <v>2000</v>
      </c>
      <c r="G526" s="42">
        <f>G527+G532</f>
        <v>3200</v>
      </c>
    </row>
    <row r="527" spans="1:7" s="39" customFormat="1" ht="36" x14ac:dyDescent="0.2">
      <c r="A527" s="126" t="s">
        <v>852</v>
      </c>
      <c r="B527" s="24" t="s">
        <v>70</v>
      </c>
      <c r="C527" s="24"/>
      <c r="D527" s="24"/>
      <c r="E527" s="24"/>
      <c r="F527" s="42">
        <f t="shared" ref="F527:G530" si="79">F528</f>
        <v>1000</v>
      </c>
      <c r="G527" s="42">
        <f t="shared" si="79"/>
        <v>1200</v>
      </c>
    </row>
    <row r="528" spans="1:7" s="39" customFormat="1" ht="15" x14ac:dyDescent="0.2">
      <c r="A528" s="61" t="s">
        <v>667</v>
      </c>
      <c r="B528" s="24" t="s">
        <v>70</v>
      </c>
      <c r="C528" s="24" t="s">
        <v>731</v>
      </c>
      <c r="D528" s="24"/>
      <c r="E528" s="24"/>
      <c r="F528" s="42">
        <f t="shared" si="79"/>
        <v>1000</v>
      </c>
      <c r="G528" s="42">
        <f t="shared" si="79"/>
        <v>1200</v>
      </c>
    </row>
    <row r="529" spans="1:7" s="39" customFormat="1" ht="15" x14ac:dyDescent="0.2">
      <c r="A529" s="61" t="s">
        <v>668</v>
      </c>
      <c r="B529" s="24" t="s">
        <v>70</v>
      </c>
      <c r="C529" s="24" t="s">
        <v>731</v>
      </c>
      <c r="D529" s="24" t="s">
        <v>214</v>
      </c>
      <c r="E529" s="24"/>
      <c r="F529" s="42">
        <f t="shared" si="79"/>
        <v>1000</v>
      </c>
      <c r="G529" s="42">
        <f t="shared" si="79"/>
        <v>1200</v>
      </c>
    </row>
    <row r="530" spans="1:7" s="39" customFormat="1" ht="15" x14ac:dyDescent="0.2">
      <c r="A530" s="84" t="s">
        <v>473</v>
      </c>
      <c r="B530" s="30" t="s">
        <v>70</v>
      </c>
      <c r="C530" s="30" t="s">
        <v>731</v>
      </c>
      <c r="D530" s="30" t="s">
        <v>214</v>
      </c>
      <c r="E530" s="30" t="s">
        <v>226</v>
      </c>
      <c r="F530" s="41">
        <f t="shared" si="79"/>
        <v>1000</v>
      </c>
      <c r="G530" s="41">
        <f t="shared" si="79"/>
        <v>1200</v>
      </c>
    </row>
    <row r="531" spans="1:7" s="39" customFormat="1" ht="15" x14ac:dyDescent="0.2">
      <c r="A531" s="84" t="s">
        <v>227</v>
      </c>
      <c r="B531" s="30" t="s">
        <v>70</v>
      </c>
      <c r="C531" s="30" t="s">
        <v>731</v>
      </c>
      <c r="D531" s="30" t="s">
        <v>214</v>
      </c>
      <c r="E531" s="30" t="s">
        <v>228</v>
      </c>
      <c r="F531" s="41">
        <v>1000</v>
      </c>
      <c r="G531" s="41">
        <v>1200</v>
      </c>
    </row>
    <row r="532" spans="1:7" s="39" customFormat="1" ht="15" x14ac:dyDescent="0.2">
      <c r="A532" s="75" t="s">
        <v>415</v>
      </c>
      <c r="B532" s="104" t="s">
        <v>71</v>
      </c>
      <c r="C532" s="24"/>
      <c r="D532" s="24"/>
      <c r="E532" s="24"/>
      <c r="F532" s="42">
        <f t="shared" ref="F532:G535" si="80">F533</f>
        <v>1000</v>
      </c>
      <c r="G532" s="42">
        <f t="shared" si="80"/>
        <v>2000</v>
      </c>
    </row>
    <row r="533" spans="1:7" s="39" customFormat="1" ht="15" x14ac:dyDescent="0.2">
      <c r="A533" s="61" t="s">
        <v>667</v>
      </c>
      <c r="B533" s="24" t="s">
        <v>71</v>
      </c>
      <c r="C533" s="24" t="s">
        <v>731</v>
      </c>
      <c r="D533" s="24"/>
      <c r="E533" s="24"/>
      <c r="F533" s="42">
        <f t="shared" si="80"/>
        <v>1000</v>
      </c>
      <c r="G533" s="42">
        <f t="shared" si="80"/>
        <v>2000</v>
      </c>
    </row>
    <row r="534" spans="1:7" s="39" customFormat="1" ht="15" x14ac:dyDescent="0.2">
      <c r="A534" s="61" t="s">
        <v>668</v>
      </c>
      <c r="B534" s="24" t="s">
        <v>71</v>
      </c>
      <c r="C534" s="24" t="s">
        <v>731</v>
      </c>
      <c r="D534" s="24" t="s">
        <v>214</v>
      </c>
      <c r="E534" s="24"/>
      <c r="F534" s="42">
        <f t="shared" si="80"/>
        <v>1000</v>
      </c>
      <c r="G534" s="42">
        <f t="shared" si="80"/>
        <v>2000</v>
      </c>
    </row>
    <row r="535" spans="1:7" s="39" customFormat="1" ht="15" x14ac:dyDescent="0.2">
      <c r="A535" s="84" t="s">
        <v>473</v>
      </c>
      <c r="B535" s="30" t="s">
        <v>71</v>
      </c>
      <c r="C535" s="30" t="s">
        <v>731</v>
      </c>
      <c r="D535" s="30" t="s">
        <v>214</v>
      </c>
      <c r="E535" s="30" t="s">
        <v>226</v>
      </c>
      <c r="F535" s="41">
        <f t="shared" si="80"/>
        <v>1000</v>
      </c>
      <c r="G535" s="41">
        <f t="shared" si="80"/>
        <v>2000</v>
      </c>
    </row>
    <row r="536" spans="1:7" s="39" customFormat="1" ht="15" x14ac:dyDescent="0.2">
      <c r="A536" s="84" t="s">
        <v>227</v>
      </c>
      <c r="B536" s="30" t="s">
        <v>71</v>
      </c>
      <c r="C536" s="30" t="s">
        <v>731</v>
      </c>
      <c r="D536" s="30" t="s">
        <v>214</v>
      </c>
      <c r="E536" s="30" t="s">
        <v>228</v>
      </c>
      <c r="F536" s="41">
        <v>1000</v>
      </c>
      <c r="G536" s="41">
        <v>2000</v>
      </c>
    </row>
    <row r="537" spans="1:7" s="39" customFormat="1" ht="15" x14ac:dyDescent="0.2">
      <c r="A537" s="80" t="s">
        <v>309</v>
      </c>
      <c r="B537" s="24" t="s">
        <v>75</v>
      </c>
      <c r="C537" s="24"/>
      <c r="D537" s="24"/>
      <c r="E537" s="24"/>
      <c r="F537" s="42">
        <f t="shared" ref="F537:G540" si="81">F538</f>
        <v>2500</v>
      </c>
      <c r="G537" s="42">
        <f t="shared" si="81"/>
        <v>1000</v>
      </c>
    </row>
    <row r="538" spans="1:7" s="39" customFormat="1" ht="15" x14ac:dyDescent="0.2">
      <c r="A538" s="61" t="s">
        <v>667</v>
      </c>
      <c r="B538" s="24" t="s">
        <v>75</v>
      </c>
      <c r="C538" s="24" t="s">
        <v>731</v>
      </c>
      <c r="D538" s="30"/>
      <c r="E538" s="30"/>
      <c r="F538" s="42">
        <f t="shared" si="81"/>
        <v>2500</v>
      </c>
      <c r="G538" s="42">
        <f t="shared" si="81"/>
        <v>1000</v>
      </c>
    </row>
    <row r="539" spans="1:7" s="39" customFormat="1" ht="15" x14ac:dyDescent="0.2">
      <c r="A539" s="61" t="s">
        <v>669</v>
      </c>
      <c r="B539" s="24" t="s">
        <v>75</v>
      </c>
      <c r="C539" s="24" t="s">
        <v>731</v>
      </c>
      <c r="D539" s="24" t="s">
        <v>825</v>
      </c>
      <c r="E539" s="30"/>
      <c r="F539" s="42">
        <f t="shared" si="81"/>
        <v>2500</v>
      </c>
      <c r="G539" s="42">
        <f t="shared" si="81"/>
        <v>1000</v>
      </c>
    </row>
    <row r="540" spans="1:7" s="39" customFormat="1" ht="15" x14ac:dyDescent="0.2">
      <c r="A540" s="84" t="s">
        <v>473</v>
      </c>
      <c r="B540" s="30" t="s">
        <v>75</v>
      </c>
      <c r="C540" s="30" t="s">
        <v>731</v>
      </c>
      <c r="D540" s="30" t="s">
        <v>825</v>
      </c>
      <c r="E540" s="30" t="s">
        <v>226</v>
      </c>
      <c r="F540" s="41">
        <f t="shared" si="81"/>
        <v>2500</v>
      </c>
      <c r="G540" s="41">
        <f t="shared" si="81"/>
        <v>1000</v>
      </c>
    </row>
    <row r="541" spans="1:7" s="39" customFormat="1" ht="15" x14ac:dyDescent="0.2">
      <c r="A541" s="84" t="s">
        <v>227</v>
      </c>
      <c r="B541" s="30" t="s">
        <v>75</v>
      </c>
      <c r="C541" s="30" t="s">
        <v>731</v>
      </c>
      <c r="D541" s="30" t="s">
        <v>825</v>
      </c>
      <c r="E541" s="30" t="s">
        <v>228</v>
      </c>
      <c r="F541" s="41">
        <f>10000-7500</f>
        <v>2500</v>
      </c>
      <c r="G541" s="41">
        <v>1000</v>
      </c>
    </row>
    <row r="542" spans="1:7" s="39" customFormat="1" ht="15" x14ac:dyDescent="0.2">
      <c r="A542" s="80" t="s">
        <v>754</v>
      </c>
      <c r="B542" s="24" t="s">
        <v>276</v>
      </c>
      <c r="C542" s="24"/>
      <c r="D542" s="24"/>
      <c r="E542" s="24"/>
      <c r="F542" s="42">
        <f>F543+F548+F553+F558+F568+F573+F578+F583</f>
        <v>162425</v>
      </c>
      <c r="G542" s="42">
        <f>G543+G548+G553+G558+G568+G573+G578+G583</f>
        <v>150425</v>
      </c>
    </row>
    <row r="543" spans="1:7" s="39" customFormat="1" ht="15" x14ac:dyDescent="0.2">
      <c r="A543" s="80" t="s">
        <v>198</v>
      </c>
      <c r="B543" s="24" t="s">
        <v>79</v>
      </c>
      <c r="C543" s="24"/>
      <c r="D543" s="24"/>
      <c r="E543" s="30"/>
      <c r="F543" s="42">
        <f t="shared" ref="F543:G546" si="82">F544</f>
        <v>21500</v>
      </c>
      <c r="G543" s="42">
        <f t="shared" si="82"/>
        <v>21500</v>
      </c>
    </row>
    <row r="544" spans="1:7" s="39" customFormat="1" ht="15" x14ac:dyDescent="0.2">
      <c r="A544" s="61" t="s">
        <v>667</v>
      </c>
      <c r="B544" s="24" t="s">
        <v>79</v>
      </c>
      <c r="C544" s="24" t="s">
        <v>731</v>
      </c>
      <c r="D544" s="24"/>
      <c r="E544" s="24"/>
      <c r="F544" s="42">
        <f t="shared" si="82"/>
        <v>21500</v>
      </c>
      <c r="G544" s="42">
        <f t="shared" si="82"/>
        <v>21500</v>
      </c>
    </row>
    <row r="545" spans="1:7" s="39" customFormat="1" ht="15" x14ac:dyDescent="0.2">
      <c r="A545" s="61" t="s">
        <v>671</v>
      </c>
      <c r="B545" s="24" t="s">
        <v>79</v>
      </c>
      <c r="C545" s="24" t="s">
        <v>731</v>
      </c>
      <c r="D545" s="24" t="s">
        <v>817</v>
      </c>
      <c r="E545" s="24"/>
      <c r="F545" s="42">
        <f t="shared" si="82"/>
        <v>21500</v>
      </c>
      <c r="G545" s="42">
        <f t="shared" si="82"/>
        <v>21500</v>
      </c>
    </row>
    <row r="546" spans="1:7" s="39" customFormat="1" ht="24" x14ac:dyDescent="0.2">
      <c r="A546" s="84" t="s">
        <v>246</v>
      </c>
      <c r="B546" s="30" t="s">
        <v>79</v>
      </c>
      <c r="C546" s="30" t="s">
        <v>731</v>
      </c>
      <c r="D546" s="30" t="s">
        <v>817</v>
      </c>
      <c r="E546" s="30" t="s">
        <v>702</v>
      </c>
      <c r="F546" s="41">
        <f t="shared" si="82"/>
        <v>21500</v>
      </c>
      <c r="G546" s="41">
        <f t="shared" si="82"/>
        <v>21500</v>
      </c>
    </row>
    <row r="547" spans="1:7" s="39" customFormat="1" ht="15" x14ac:dyDescent="0.2">
      <c r="A547" s="84" t="s">
        <v>247</v>
      </c>
      <c r="B547" s="30" t="s">
        <v>79</v>
      </c>
      <c r="C547" s="30" t="s">
        <v>731</v>
      </c>
      <c r="D547" s="30" t="s">
        <v>817</v>
      </c>
      <c r="E547" s="30" t="s">
        <v>724</v>
      </c>
      <c r="F547" s="41">
        <v>21500</v>
      </c>
      <c r="G547" s="41">
        <v>21500</v>
      </c>
    </row>
    <row r="548" spans="1:7" s="39" customFormat="1" ht="15" x14ac:dyDescent="0.2">
      <c r="A548" s="80" t="s">
        <v>417</v>
      </c>
      <c r="B548" s="24" t="s">
        <v>80</v>
      </c>
      <c r="C548" s="24"/>
      <c r="D548" s="24"/>
      <c r="E548" s="24"/>
      <c r="F548" s="42">
        <f t="shared" ref="F548:G551" si="83">F549</f>
        <v>70000</v>
      </c>
      <c r="G548" s="42">
        <f t="shared" si="83"/>
        <v>65000</v>
      </c>
    </row>
    <row r="549" spans="1:7" s="39" customFormat="1" ht="15" x14ac:dyDescent="0.2">
      <c r="A549" s="61" t="s">
        <v>667</v>
      </c>
      <c r="B549" s="24" t="s">
        <v>80</v>
      </c>
      <c r="C549" s="24" t="s">
        <v>731</v>
      </c>
      <c r="D549" s="24"/>
      <c r="E549" s="24"/>
      <c r="F549" s="42">
        <f t="shared" si="83"/>
        <v>70000</v>
      </c>
      <c r="G549" s="42">
        <f t="shared" si="83"/>
        <v>65000</v>
      </c>
    </row>
    <row r="550" spans="1:7" s="39" customFormat="1" ht="15" x14ac:dyDescent="0.2">
      <c r="A550" s="61" t="s">
        <v>671</v>
      </c>
      <c r="B550" s="24" t="s">
        <v>80</v>
      </c>
      <c r="C550" s="24" t="s">
        <v>731</v>
      </c>
      <c r="D550" s="24" t="s">
        <v>817</v>
      </c>
      <c r="E550" s="24"/>
      <c r="F550" s="42">
        <f t="shared" si="83"/>
        <v>70000</v>
      </c>
      <c r="G550" s="42">
        <f t="shared" si="83"/>
        <v>65000</v>
      </c>
    </row>
    <row r="551" spans="1:7" s="39" customFormat="1" ht="15" x14ac:dyDescent="0.2">
      <c r="A551" s="84" t="s">
        <v>473</v>
      </c>
      <c r="B551" s="30" t="s">
        <v>80</v>
      </c>
      <c r="C551" s="30" t="s">
        <v>731</v>
      </c>
      <c r="D551" s="30" t="s">
        <v>817</v>
      </c>
      <c r="E551" s="30" t="s">
        <v>226</v>
      </c>
      <c r="F551" s="41">
        <f t="shared" si="83"/>
        <v>70000</v>
      </c>
      <c r="G551" s="41">
        <f t="shared" si="83"/>
        <v>65000</v>
      </c>
    </row>
    <row r="552" spans="1:7" s="39" customFormat="1" ht="15" x14ac:dyDescent="0.2">
      <c r="A552" s="84" t="s">
        <v>227</v>
      </c>
      <c r="B552" s="30" t="s">
        <v>80</v>
      </c>
      <c r="C552" s="30" t="s">
        <v>731</v>
      </c>
      <c r="D552" s="30" t="s">
        <v>817</v>
      </c>
      <c r="E552" s="30" t="s">
        <v>228</v>
      </c>
      <c r="F552" s="41">
        <v>70000</v>
      </c>
      <c r="G552" s="41">
        <v>65000</v>
      </c>
    </row>
    <row r="553" spans="1:7" s="39" customFormat="1" ht="36" x14ac:dyDescent="0.2">
      <c r="A553" s="61" t="s">
        <v>612</v>
      </c>
      <c r="B553" s="24" t="s">
        <v>81</v>
      </c>
      <c r="C553" s="24"/>
      <c r="D553" s="24"/>
      <c r="E553" s="24"/>
      <c r="F553" s="117">
        <f t="shared" ref="F553:G556" si="84">F554</f>
        <v>34000</v>
      </c>
      <c r="G553" s="117">
        <f t="shared" si="84"/>
        <v>30000</v>
      </c>
    </row>
    <row r="554" spans="1:7" s="39" customFormat="1" ht="15" x14ac:dyDescent="0.2">
      <c r="A554" s="61" t="s">
        <v>667</v>
      </c>
      <c r="B554" s="24" t="s">
        <v>81</v>
      </c>
      <c r="C554" s="24" t="s">
        <v>731</v>
      </c>
      <c r="D554" s="24"/>
      <c r="E554" s="24"/>
      <c r="F554" s="42">
        <f t="shared" si="84"/>
        <v>34000</v>
      </c>
      <c r="G554" s="42">
        <f t="shared" si="84"/>
        <v>30000</v>
      </c>
    </row>
    <row r="555" spans="1:7" s="39" customFormat="1" ht="15" x14ac:dyDescent="0.2">
      <c r="A555" s="61" t="s">
        <v>671</v>
      </c>
      <c r="B555" s="24" t="s">
        <v>81</v>
      </c>
      <c r="C555" s="24" t="s">
        <v>731</v>
      </c>
      <c r="D555" s="24" t="s">
        <v>817</v>
      </c>
      <c r="E555" s="24"/>
      <c r="F555" s="42">
        <f t="shared" si="84"/>
        <v>34000</v>
      </c>
      <c r="G555" s="42">
        <f t="shared" si="84"/>
        <v>30000</v>
      </c>
    </row>
    <row r="556" spans="1:7" s="39" customFormat="1" ht="15" x14ac:dyDescent="0.2">
      <c r="A556" s="84" t="s">
        <v>229</v>
      </c>
      <c r="B556" s="30" t="s">
        <v>81</v>
      </c>
      <c r="C556" s="30" t="s">
        <v>731</v>
      </c>
      <c r="D556" s="30" t="s">
        <v>817</v>
      </c>
      <c r="E556" s="30" t="s">
        <v>230</v>
      </c>
      <c r="F556" s="118">
        <f t="shared" si="84"/>
        <v>34000</v>
      </c>
      <c r="G556" s="118">
        <f t="shared" si="84"/>
        <v>30000</v>
      </c>
    </row>
    <row r="557" spans="1:7" s="39" customFormat="1" ht="24" x14ac:dyDescent="0.2">
      <c r="A557" s="84" t="s">
        <v>105</v>
      </c>
      <c r="B557" s="30" t="s">
        <v>81</v>
      </c>
      <c r="C557" s="30" t="s">
        <v>731</v>
      </c>
      <c r="D557" s="30" t="s">
        <v>817</v>
      </c>
      <c r="E557" s="30" t="s">
        <v>729</v>
      </c>
      <c r="F557" s="118">
        <v>34000</v>
      </c>
      <c r="G557" s="118">
        <v>30000</v>
      </c>
    </row>
    <row r="558" spans="1:7" s="39" customFormat="1" ht="15" x14ac:dyDescent="0.2">
      <c r="A558" s="75" t="s">
        <v>199</v>
      </c>
      <c r="B558" s="43" t="s">
        <v>84</v>
      </c>
      <c r="C558" s="24"/>
      <c r="D558" s="24"/>
      <c r="E558" s="24"/>
      <c r="F558" s="42">
        <f t="shared" ref="F558:G560" si="85">F559</f>
        <v>6270</v>
      </c>
      <c r="G558" s="42">
        <f t="shared" si="85"/>
        <v>6270</v>
      </c>
    </row>
    <row r="559" spans="1:7" s="39" customFormat="1" ht="15" x14ac:dyDescent="0.2">
      <c r="A559" s="61" t="s">
        <v>667</v>
      </c>
      <c r="B559" s="43" t="s">
        <v>84</v>
      </c>
      <c r="C559" s="24" t="s">
        <v>731</v>
      </c>
      <c r="D559" s="24"/>
      <c r="E559" s="24"/>
      <c r="F559" s="42">
        <f t="shared" si="85"/>
        <v>6270</v>
      </c>
      <c r="G559" s="42">
        <f t="shared" si="85"/>
        <v>6270</v>
      </c>
    </row>
    <row r="560" spans="1:7" s="39" customFormat="1" ht="15" x14ac:dyDescent="0.2">
      <c r="A560" s="61" t="s">
        <v>672</v>
      </c>
      <c r="B560" s="43" t="s">
        <v>84</v>
      </c>
      <c r="C560" s="24" t="s">
        <v>731</v>
      </c>
      <c r="D560" s="24" t="s">
        <v>731</v>
      </c>
      <c r="E560" s="24"/>
      <c r="F560" s="42">
        <f t="shared" si="85"/>
        <v>6270</v>
      </c>
      <c r="G560" s="42">
        <f t="shared" si="85"/>
        <v>6270</v>
      </c>
    </row>
    <row r="561" spans="1:7" s="39" customFormat="1" ht="15" x14ac:dyDescent="0.2">
      <c r="A561" s="85" t="s">
        <v>819</v>
      </c>
      <c r="B561" s="33" t="s">
        <v>84</v>
      </c>
      <c r="C561" s="33" t="s">
        <v>731</v>
      </c>
      <c r="D561" s="33" t="s">
        <v>731</v>
      </c>
      <c r="E561" s="33"/>
      <c r="F561" s="101">
        <f>F562+F564+F566</f>
        <v>6270</v>
      </c>
      <c r="G561" s="101">
        <f>G562+G564+G566</f>
        <v>6270</v>
      </c>
    </row>
    <row r="562" spans="1:7" s="39" customFormat="1" ht="36" x14ac:dyDescent="0.2">
      <c r="A562" s="84" t="s">
        <v>217</v>
      </c>
      <c r="B562" s="30" t="s">
        <v>84</v>
      </c>
      <c r="C562" s="30" t="s">
        <v>731</v>
      </c>
      <c r="D562" s="30" t="s">
        <v>731</v>
      </c>
      <c r="E562" s="30" t="s">
        <v>218</v>
      </c>
      <c r="F562" s="41">
        <f>F563</f>
        <v>4550</v>
      </c>
      <c r="G562" s="41">
        <f>G563</f>
        <v>4550</v>
      </c>
    </row>
    <row r="563" spans="1:7" s="39" customFormat="1" ht="15" x14ac:dyDescent="0.2">
      <c r="A563" s="84" t="s">
        <v>820</v>
      </c>
      <c r="B563" s="30" t="s">
        <v>84</v>
      </c>
      <c r="C563" s="30" t="s">
        <v>731</v>
      </c>
      <c r="D563" s="30" t="s">
        <v>731</v>
      </c>
      <c r="E563" s="30" t="s">
        <v>821</v>
      </c>
      <c r="F563" s="41">
        <f>2500+750+1000+300</f>
        <v>4550</v>
      </c>
      <c r="G563" s="41">
        <f>2500+750+1000+300</f>
        <v>4550</v>
      </c>
    </row>
    <row r="564" spans="1:7" s="39" customFormat="1" ht="15" x14ac:dyDescent="0.2">
      <c r="A564" s="84" t="s">
        <v>473</v>
      </c>
      <c r="B564" s="30" t="s">
        <v>84</v>
      </c>
      <c r="C564" s="30" t="s">
        <v>731</v>
      </c>
      <c r="D564" s="30" t="s">
        <v>731</v>
      </c>
      <c r="E564" s="30" t="s">
        <v>226</v>
      </c>
      <c r="F564" s="41">
        <f>F565</f>
        <v>1299</v>
      </c>
      <c r="G564" s="41">
        <f>G565</f>
        <v>1299</v>
      </c>
    </row>
    <row r="565" spans="1:7" s="39" customFormat="1" ht="15" x14ac:dyDescent="0.2">
      <c r="A565" s="84" t="s">
        <v>227</v>
      </c>
      <c r="B565" s="30" t="s">
        <v>84</v>
      </c>
      <c r="C565" s="30" t="s">
        <v>731</v>
      </c>
      <c r="D565" s="30" t="s">
        <v>731</v>
      </c>
      <c r="E565" s="30" t="s">
        <v>228</v>
      </c>
      <c r="F565" s="41">
        <v>1299</v>
      </c>
      <c r="G565" s="41">
        <v>1299</v>
      </c>
    </row>
    <row r="566" spans="1:7" s="39" customFormat="1" ht="15" x14ac:dyDescent="0.2">
      <c r="A566" s="84" t="s">
        <v>229</v>
      </c>
      <c r="B566" s="30" t="s">
        <v>84</v>
      </c>
      <c r="C566" s="30" t="s">
        <v>731</v>
      </c>
      <c r="D566" s="30" t="s">
        <v>731</v>
      </c>
      <c r="E566" s="30" t="s">
        <v>230</v>
      </c>
      <c r="F566" s="41">
        <f>F567</f>
        <v>421</v>
      </c>
      <c r="G566" s="41">
        <f>G567</f>
        <v>421</v>
      </c>
    </row>
    <row r="567" spans="1:7" s="39" customFormat="1" ht="15" x14ac:dyDescent="0.2">
      <c r="A567" s="84" t="s">
        <v>106</v>
      </c>
      <c r="B567" s="30" t="s">
        <v>84</v>
      </c>
      <c r="C567" s="30" t="s">
        <v>731</v>
      </c>
      <c r="D567" s="30" t="s">
        <v>731</v>
      </c>
      <c r="E567" s="30" t="s">
        <v>231</v>
      </c>
      <c r="F567" s="41">
        <f>412+9</f>
        <v>421</v>
      </c>
      <c r="G567" s="41">
        <f>412+9</f>
        <v>421</v>
      </c>
    </row>
    <row r="568" spans="1:7" s="39" customFormat="1" ht="24" x14ac:dyDescent="0.2">
      <c r="A568" s="80" t="s">
        <v>319</v>
      </c>
      <c r="B568" s="24" t="s">
        <v>72</v>
      </c>
      <c r="C568" s="24"/>
      <c r="D568" s="24"/>
      <c r="E568" s="24"/>
      <c r="F568" s="117">
        <f t="shared" ref="F568:G571" si="86">F569</f>
        <v>2510</v>
      </c>
      <c r="G568" s="117">
        <f t="shared" si="86"/>
        <v>2510</v>
      </c>
    </row>
    <row r="569" spans="1:7" s="39" customFormat="1" ht="15" x14ac:dyDescent="0.2">
      <c r="A569" s="61" t="s">
        <v>667</v>
      </c>
      <c r="B569" s="24" t="s">
        <v>72</v>
      </c>
      <c r="C569" s="24" t="s">
        <v>731</v>
      </c>
      <c r="D569" s="24"/>
      <c r="E569" s="24"/>
      <c r="F569" s="42">
        <f t="shared" si="86"/>
        <v>2510</v>
      </c>
      <c r="G569" s="42">
        <f t="shared" si="86"/>
        <v>2510</v>
      </c>
    </row>
    <row r="570" spans="1:7" s="39" customFormat="1" ht="15" x14ac:dyDescent="0.2">
      <c r="A570" s="61" t="s">
        <v>668</v>
      </c>
      <c r="B570" s="24" t="s">
        <v>72</v>
      </c>
      <c r="C570" s="24" t="s">
        <v>731</v>
      </c>
      <c r="D570" s="24" t="s">
        <v>214</v>
      </c>
      <c r="E570" s="24"/>
      <c r="F570" s="42">
        <f t="shared" si="86"/>
        <v>2510</v>
      </c>
      <c r="G570" s="42">
        <f t="shared" si="86"/>
        <v>2510</v>
      </c>
    </row>
    <row r="571" spans="1:7" s="39" customFormat="1" ht="15" x14ac:dyDescent="0.2">
      <c r="A571" s="84" t="s">
        <v>473</v>
      </c>
      <c r="B571" s="30" t="s">
        <v>72</v>
      </c>
      <c r="C571" s="30" t="s">
        <v>731</v>
      </c>
      <c r="D571" s="30" t="s">
        <v>214</v>
      </c>
      <c r="E571" s="30" t="s">
        <v>226</v>
      </c>
      <c r="F571" s="118">
        <f t="shared" si="86"/>
        <v>2510</v>
      </c>
      <c r="G571" s="118">
        <f t="shared" si="86"/>
        <v>2510</v>
      </c>
    </row>
    <row r="572" spans="1:7" s="39" customFormat="1" ht="15" x14ac:dyDescent="0.2">
      <c r="A572" s="84" t="s">
        <v>227</v>
      </c>
      <c r="B572" s="30" t="s">
        <v>72</v>
      </c>
      <c r="C572" s="30" t="s">
        <v>731</v>
      </c>
      <c r="D572" s="30" t="s">
        <v>214</v>
      </c>
      <c r="E572" s="30" t="s">
        <v>228</v>
      </c>
      <c r="F572" s="118">
        <v>2510</v>
      </c>
      <c r="G572" s="118">
        <v>2510</v>
      </c>
    </row>
    <row r="573" spans="1:7" s="39" customFormat="1" ht="15" x14ac:dyDescent="0.2">
      <c r="A573" s="80" t="s">
        <v>589</v>
      </c>
      <c r="B573" s="24" t="s">
        <v>590</v>
      </c>
      <c r="C573" s="24"/>
      <c r="D573" s="24"/>
      <c r="E573" s="24"/>
      <c r="F573" s="117">
        <f t="shared" ref="F573:G576" si="87">F574</f>
        <v>5000</v>
      </c>
      <c r="G573" s="117">
        <f t="shared" si="87"/>
        <v>2000</v>
      </c>
    </row>
    <row r="574" spans="1:7" s="39" customFormat="1" ht="15" x14ac:dyDescent="0.2">
      <c r="A574" s="61" t="s">
        <v>667</v>
      </c>
      <c r="B574" s="24" t="s">
        <v>590</v>
      </c>
      <c r="C574" s="24" t="s">
        <v>731</v>
      </c>
      <c r="D574" s="30"/>
      <c r="E574" s="30"/>
      <c r="F574" s="117">
        <f t="shared" si="87"/>
        <v>5000</v>
      </c>
      <c r="G574" s="117">
        <f t="shared" si="87"/>
        <v>2000</v>
      </c>
    </row>
    <row r="575" spans="1:7" s="39" customFormat="1" ht="15" x14ac:dyDescent="0.2">
      <c r="A575" s="61" t="s">
        <v>669</v>
      </c>
      <c r="B575" s="24" t="s">
        <v>590</v>
      </c>
      <c r="C575" s="24" t="s">
        <v>731</v>
      </c>
      <c r="D575" s="24" t="s">
        <v>825</v>
      </c>
      <c r="E575" s="30"/>
      <c r="F575" s="117">
        <f t="shared" si="87"/>
        <v>5000</v>
      </c>
      <c r="G575" s="117">
        <f t="shared" si="87"/>
        <v>2000</v>
      </c>
    </row>
    <row r="576" spans="1:7" s="39" customFormat="1" ht="15" x14ac:dyDescent="0.2">
      <c r="A576" s="84" t="s">
        <v>473</v>
      </c>
      <c r="B576" s="30" t="s">
        <v>590</v>
      </c>
      <c r="C576" s="30" t="s">
        <v>731</v>
      </c>
      <c r="D576" s="30" t="s">
        <v>825</v>
      </c>
      <c r="E576" s="30" t="s">
        <v>226</v>
      </c>
      <c r="F576" s="118">
        <f t="shared" si="87"/>
        <v>5000</v>
      </c>
      <c r="G576" s="118">
        <f t="shared" si="87"/>
        <v>2000</v>
      </c>
    </row>
    <row r="577" spans="1:7" s="39" customFormat="1" ht="15" x14ac:dyDescent="0.2">
      <c r="A577" s="84" t="s">
        <v>227</v>
      </c>
      <c r="B577" s="30" t="s">
        <v>590</v>
      </c>
      <c r="C577" s="30" t="s">
        <v>731</v>
      </c>
      <c r="D577" s="30" t="s">
        <v>825</v>
      </c>
      <c r="E577" s="30" t="s">
        <v>228</v>
      </c>
      <c r="F577" s="118">
        <v>5000</v>
      </c>
      <c r="G577" s="118">
        <v>2000</v>
      </c>
    </row>
    <row r="578" spans="1:7" s="39" customFormat="1" ht="24" x14ac:dyDescent="0.2">
      <c r="A578" s="80" t="s">
        <v>757</v>
      </c>
      <c r="B578" s="24" t="s">
        <v>73</v>
      </c>
      <c r="C578" s="24"/>
      <c r="D578" s="24"/>
      <c r="E578" s="24"/>
      <c r="F578" s="42">
        <f t="shared" ref="F578:G581" si="88">F579</f>
        <v>10495</v>
      </c>
      <c r="G578" s="42">
        <f t="shared" si="88"/>
        <v>10495</v>
      </c>
    </row>
    <row r="579" spans="1:7" s="39" customFormat="1" ht="15" x14ac:dyDescent="0.2">
      <c r="A579" s="61" t="s">
        <v>667</v>
      </c>
      <c r="B579" s="24" t="s">
        <v>73</v>
      </c>
      <c r="C579" s="24" t="s">
        <v>731</v>
      </c>
      <c r="D579" s="24"/>
      <c r="E579" s="24"/>
      <c r="F579" s="42">
        <f t="shared" si="88"/>
        <v>10495</v>
      </c>
      <c r="G579" s="42">
        <f t="shared" si="88"/>
        <v>10495</v>
      </c>
    </row>
    <row r="580" spans="1:7" s="39" customFormat="1" ht="15" x14ac:dyDescent="0.2">
      <c r="A580" s="61" t="s">
        <v>668</v>
      </c>
      <c r="B580" s="24" t="s">
        <v>73</v>
      </c>
      <c r="C580" s="24" t="s">
        <v>731</v>
      </c>
      <c r="D580" s="24" t="s">
        <v>214</v>
      </c>
      <c r="E580" s="24"/>
      <c r="F580" s="42">
        <f t="shared" si="88"/>
        <v>10495</v>
      </c>
      <c r="G580" s="42">
        <f t="shared" si="88"/>
        <v>10495</v>
      </c>
    </row>
    <row r="581" spans="1:7" s="39" customFormat="1" ht="24" x14ac:dyDescent="0.2">
      <c r="A581" s="84" t="s">
        <v>246</v>
      </c>
      <c r="B581" s="30" t="s">
        <v>73</v>
      </c>
      <c r="C581" s="30" t="s">
        <v>731</v>
      </c>
      <c r="D581" s="30" t="s">
        <v>214</v>
      </c>
      <c r="E581" s="30" t="s">
        <v>702</v>
      </c>
      <c r="F581" s="41">
        <f t="shared" si="88"/>
        <v>10495</v>
      </c>
      <c r="G581" s="41">
        <f t="shared" si="88"/>
        <v>10495</v>
      </c>
    </row>
    <row r="582" spans="1:7" s="39" customFormat="1" ht="24" x14ac:dyDescent="0.2">
      <c r="A582" s="84" t="s">
        <v>290</v>
      </c>
      <c r="B582" s="30" t="s">
        <v>73</v>
      </c>
      <c r="C582" s="30" t="s">
        <v>731</v>
      </c>
      <c r="D582" s="30" t="s">
        <v>214</v>
      </c>
      <c r="E582" s="30" t="s">
        <v>794</v>
      </c>
      <c r="F582" s="41">
        <v>10495</v>
      </c>
      <c r="G582" s="41">
        <v>10495</v>
      </c>
    </row>
    <row r="583" spans="1:7" s="39" customFormat="1" ht="24" x14ac:dyDescent="0.2">
      <c r="A583" s="80" t="s">
        <v>419</v>
      </c>
      <c r="B583" s="24" t="s">
        <v>276</v>
      </c>
      <c r="C583" s="24"/>
      <c r="D583" s="24"/>
      <c r="E583" s="30"/>
      <c r="F583" s="42">
        <f>F584</f>
        <v>12650</v>
      </c>
      <c r="G583" s="42">
        <f>G584</f>
        <v>12650</v>
      </c>
    </row>
    <row r="584" spans="1:7" s="39" customFormat="1" ht="24" x14ac:dyDescent="0.2">
      <c r="A584" s="83" t="s">
        <v>704</v>
      </c>
      <c r="B584" s="25" t="s">
        <v>276</v>
      </c>
      <c r="C584" s="25"/>
      <c r="D584" s="25"/>
      <c r="E584" s="25"/>
      <c r="F584" s="45">
        <f>F585+F590</f>
        <v>12650</v>
      </c>
      <c r="G584" s="45">
        <f>G585+G590</f>
        <v>12650</v>
      </c>
    </row>
    <row r="585" spans="1:7" s="39" customFormat="1" ht="15" x14ac:dyDescent="0.2">
      <c r="A585" s="61" t="s">
        <v>667</v>
      </c>
      <c r="B585" s="24" t="s">
        <v>82</v>
      </c>
      <c r="C585" s="24" t="s">
        <v>731</v>
      </c>
      <c r="D585" s="24"/>
      <c r="E585" s="25"/>
      <c r="F585" s="42">
        <f t="shared" ref="F585:G588" si="89">F586</f>
        <v>11298</v>
      </c>
      <c r="G585" s="42">
        <f t="shared" si="89"/>
        <v>11298</v>
      </c>
    </row>
    <row r="586" spans="1:7" s="39" customFormat="1" ht="15" x14ac:dyDescent="0.2">
      <c r="A586" s="61" t="s">
        <v>672</v>
      </c>
      <c r="B586" s="24" t="s">
        <v>82</v>
      </c>
      <c r="C586" s="24" t="s">
        <v>731</v>
      </c>
      <c r="D586" s="24" t="s">
        <v>731</v>
      </c>
      <c r="E586" s="25"/>
      <c r="F586" s="42">
        <f t="shared" si="89"/>
        <v>11298</v>
      </c>
      <c r="G586" s="42">
        <f t="shared" si="89"/>
        <v>11298</v>
      </c>
    </row>
    <row r="587" spans="1:7" s="39" customFormat="1" ht="15" x14ac:dyDescent="0.2">
      <c r="A587" s="82" t="s">
        <v>685</v>
      </c>
      <c r="B587" s="24" t="s">
        <v>82</v>
      </c>
      <c r="C587" s="24" t="s">
        <v>731</v>
      </c>
      <c r="D587" s="24" t="s">
        <v>731</v>
      </c>
      <c r="E587" s="24"/>
      <c r="F587" s="42">
        <f t="shared" si="89"/>
        <v>11298</v>
      </c>
      <c r="G587" s="42">
        <f t="shared" si="89"/>
        <v>11298</v>
      </c>
    </row>
    <row r="588" spans="1:7" s="39" customFormat="1" ht="36" x14ac:dyDescent="0.2">
      <c r="A588" s="84" t="s">
        <v>217</v>
      </c>
      <c r="B588" s="30" t="s">
        <v>82</v>
      </c>
      <c r="C588" s="30" t="s">
        <v>731</v>
      </c>
      <c r="D588" s="30" t="s">
        <v>731</v>
      </c>
      <c r="E588" s="30" t="s">
        <v>218</v>
      </c>
      <c r="F588" s="41">
        <f t="shared" si="89"/>
        <v>11298</v>
      </c>
      <c r="G588" s="41">
        <f t="shared" si="89"/>
        <v>11298</v>
      </c>
    </row>
    <row r="589" spans="1:7" s="39" customFormat="1" ht="15" x14ac:dyDescent="0.2">
      <c r="A589" s="84" t="s">
        <v>219</v>
      </c>
      <c r="B589" s="30" t="s">
        <v>82</v>
      </c>
      <c r="C589" s="30" t="s">
        <v>731</v>
      </c>
      <c r="D589" s="30" t="s">
        <v>731</v>
      </c>
      <c r="E589" s="30" t="s">
        <v>224</v>
      </c>
      <c r="F589" s="41">
        <f>8600+2698</f>
        <v>11298</v>
      </c>
      <c r="G589" s="41">
        <f>8600+2698</f>
        <v>11298</v>
      </c>
    </row>
    <row r="590" spans="1:7" s="39" customFormat="1" ht="15" x14ac:dyDescent="0.2">
      <c r="A590" s="80" t="s">
        <v>225</v>
      </c>
      <c r="B590" s="24" t="s">
        <v>83</v>
      </c>
      <c r="C590" s="24"/>
      <c r="D590" s="24"/>
      <c r="E590" s="24"/>
      <c r="F590" s="42">
        <f>F591</f>
        <v>1352</v>
      </c>
      <c r="G590" s="42">
        <f>G591</f>
        <v>1352</v>
      </c>
    </row>
    <row r="591" spans="1:7" s="39" customFormat="1" ht="15" x14ac:dyDescent="0.2">
      <c r="A591" s="61" t="s">
        <v>667</v>
      </c>
      <c r="B591" s="24" t="s">
        <v>83</v>
      </c>
      <c r="C591" s="24" t="s">
        <v>731</v>
      </c>
      <c r="D591" s="24"/>
      <c r="E591" s="24"/>
      <c r="F591" s="42">
        <f>F592</f>
        <v>1352</v>
      </c>
      <c r="G591" s="42">
        <f>G592</f>
        <v>1352</v>
      </c>
    </row>
    <row r="592" spans="1:7" s="39" customFormat="1" ht="15" x14ac:dyDescent="0.2">
      <c r="A592" s="61" t="s">
        <v>672</v>
      </c>
      <c r="B592" s="24" t="s">
        <v>83</v>
      </c>
      <c r="C592" s="24" t="s">
        <v>731</v>
      </c>
      <c r="D592" s="24" t="s">
        <v>731</v>
      </c>
      <c r="E592" s="24"/>
      <c r="F592" s="42">
        <f>F593+F595</f>
        <v>1352</v>
      </c>
      <c r="G592" s="42">
        <f>G593+G595</f>
        <v>1352</v>
      </c>
    </row>
    <row r="593" spans="1:7" s="39" customFormat="1" ht="15" x14ac:dyDescent="0.2">
      <c r="A593" s="84" t="s">
        <v>473</v>
      </c>
      <c r="B593" s="30" t="s">
        <v>83</v>
      </c>
      <c r="C593" s="30" t="s">
        <v>731</v>
      </c>
      <c r="D593" s="30" t="s">
        <v>731</v>
      </c>
      <c r="E593" s="30" t="s">
        <v>226</v>
      </c>
      <c r="F593" s="41">
        <f>F594</f>
        <v>1322</v>
      </c>
      <c r="G593" s="41">
        <f>G594</f>
        <v>1322</v>
      </c>
    </row>
    <row r="594" spans="1:7" s="39" customFormat="1" ht="15" x14ac:dyDescent="0.2">
      <c r="A594" s="84" t="s">
        <v>227</v>
      </c>
      <c r="B594" s="30" t="s">
        <v>83</v>
      </c>
      <c r="C594" s="30" t="s">
        <v>731</v>
      </c>
      <c r="D594" s="30" t="s">
        <v>731</v>
      </c>
      <c r="E594" s="30" t="s">
        <v>228</v>
      </c>
      <c r="F594" s="41">
        <v>1322</v>
      </c>
      <c r="G594" s="41">
        <v>1322</v>
      </c>
    </row>
    <row r="595" spans="1:7" s="39" customFormat="1" ht="15" x14ac:dyDescent="0.2">
      <c r="A595" s="84" t="s">
        <v>229</v>
      </c>
      <c r="B595" s="30" t="s">
        <v>83</v>
      </c>
      <c r="C595" s="30" t="s">
        <v>731</v>
      </c>
      <c r="D595" s="30" t="s">
        <v>731</v>
      </c>
      <c r="E595" s="30" t="s">
        <v>230</v>
      </c>
      <c r="F595" s="41">
        <f>F596</f>
        <v>30</v>
      </c>
      <c r="G595" s="41">
        <f>G596</f>
        <v>30</v>
      </c>
    </row>
    <row r="596" spans="1:7" s="39" customFormat="1" ht="15" x14ac:dyDescent="0.2">
      <c r="A596" s="84" t="s">
        <v>106</v>
      </c>
      <c r="B596" s="30" t="s">
        <v>83</v>
      </c>
      <c r="C596" s="30" t="s">
        <v>731</v>
      </c>
      <c r="D596" s="30" t="s">
        <v>731</v>
      </c>
      <c r="E596" s="30" t="s">
        <v>231</v>
      </c>
      <c r="F596" s="41">
        <v>30</v>
      </c>
      <c r="G596" s="41">
        <v>30</v>
      </c>
    </row>
    <row r="597" spans="1:7" s="39" customFormat="1" ht="27" x14ac:dyDescent="0.2">
      <c r="A597" s="152" t="s">
        <v>549</v>
      </c>
      <c r="B597" s="154" t="s">
        <v>444</v>
      </c>
      <c r="C597" s="154"/>
      <c r="D597" s="154"/>
      <c r="E597" s="154"/>
      <c r="F597" s="156">
        <f>F598+F603+F608+F613+F618+F623+F628+F635+F640+F645+F650+F655+F660+F665</f>
        <v>68254.399999999994</v>
      </c>
      <c r="G597" s="156">
        <f>G598+G603+G608+G613+G618+G623+G628+G635+G640+G645+G650+G655+G660+G665</f>
        <v>59183.5</v>
      </c>
    </row>
    <row r="598" spans="1:7" s="39" customFormat="1" ht="24" x14ac:dyDescent="0.2">
      <c r="A598" s="80" t="s">
        <v>848</v>
      </c>
      <c r="B598" s="24" t="s">
        <v>849</v>
      </c>
      <c r="C598" s="24"/>
      <c r="D598" s="24"/>
      <c r="E598" s="24"/>
      <c r="F598" s="117">
        <f t="shared" ref="F598:G601" si="90">F599</f>
        <v>1000</v>
      </c>
      <c r="G598" s="117">
        <f t="shared" si="90"/>
        <v>2000</v>
      </c>
    </row>
    <row r="599" spans="1:7" s="39" customFormat="1" ht="15" x14ac:dyDescent="0.2">
      <c r="A599" s="61" t="s">
        <v>667</v>
      </c>
      <c r="B599" s="24" t="s">
        <v>849</v>
      </c>
      <c r="C599" s="24" t="s">
        <v>731</v>
      </c>
      <c r="D599" s="24"/>
      <c r="E599" s="24"/>
      <c r="F599" s="42">
        <f t="shared" si="90"/>
        <v>1000</v>
      </c>
      <c r="G599" s="42">
        <f t="shared" si="90"/>
        <v>2000</v>
      </c>
    </row>
    <row r="600" spans="1:7" s="39" customFormat="1" ht="15" x14ac:dyDescent="0.2">
      <c r="A600" s="61" t="s">
        <v>668</v>
      </c>
      <c r="B600" s="24" t="s">
        <v>849</v>
      </c>
      <c r="C600" s="24" t="s">
        <v>731</v>
      </c>
      <c r="D600" s="24" t="s">
        <v>214</v>
      </c>
      <c r="E600" s="24"/>
      <c r="F600" s="42">
        <f t="shared" si="90"/>
        <v>1000</v>
      </c>
      <c r="G600" s="42">
        <f t="shared" si="90"/>
        <v>2000</v>
      </c>
    </row>
    <row r="601" spans="1:7" s="39" customFormat="1" ht="15" x14ac:dyDescent="0.2">
      <c r="A601" s="84" t="s">
        <v>394</v>
      </c>
      <c r="B601" s="30" t="s">
        <v>849</v>
      </c>
      <c r="C601" s="30" t="s">
        <v>731</v>
      </c>
      <c r="D601" s="30" t="s">
        <v>214</v>
      </c>
      <c r="E601" s="30" t="s">
        <v>733</v>
      </c>
      <c r="F601" s="118">
        <f t="shared" si="90"/>
        <v>1000</v>
      </c>
      <c r="G601" s="118">
        <f t="shared" si="90"/>
        <v>2000</v>
      </c>
    </row>
    <row r="602" spans="1:7" s="39" customFormat="1" ht="15" x14ac:dyDescent="0.2">
      <c r="A602" s="84" t="s">
        <v>734</v>
      </c>
      <c r="B602" s="30" t="s">
        <v>849</v>
      </c>
      <c r="C602" s="30" t="s">
        <v>731</v>
      </c>
      <c r="D602" s="30" t="s">
        <v>214</v>
      </c>
      <c r="E602" s="30" t="s">
        <v>735</v>
      </c>
      <c r="F602" s="118">
        <v>1000</v>
      </c>
      <c r="G602" s="118">
        <v>2000</v>
      </c>
    </row>
    <row r="603" spans="1:7" s="39" customFormat="1" ht="15" x14ac:dyDescent="0.2">
      <c r="A603" s="75" t="s">
        <v>286</v>
      </c>
      <c r="B603" s="24" t="s">
        <v>846</v>
      </c>
      <c r="C603" s="24"/>
      <c r="D603" s="24"/>
      <c r="E603" s="24"/>
      <c r="F603" s="42">
        <f t="shared" ref="F603:G606" si="91">F604</f>
        <v>500</v>
      </c>
      <c r="G603" s="42">
        <f t="shared" si="91"/>
        <v>500</v>
      </c>
    </row>
    <row r="604" spans="1:7" s="39" customFormat="1" ht="15" x14ac:dyDescent="0.2">
      <c r="A604" s="61" t="s">
        <v>655</v>
      </c>
      <c r="B604" s="24" t="s">
        <v>846</v>
      </c>
      <c r="C604" s="24" t="s">
        <v>216</v>
      </c>
      <c r="D604" s="24"/>
      <c r="E604" s="30"/>
      <c r="F604" s="42">
        <f t="shared" si="91"/>
        <v>500</v>
      </c>
      <c r="G604" s="42">
        <f t="shared" si="91"/>
        <v>500</v>
      </c>
    </row>
    <row r="605" spans="1:7" s="39" customFormat="1" ht="15" x14ac:dyDescent="0.2">
      <c r="A605" s="61" t="s">
        <v>698</v>
      </c>
      <c r="B605" s="24" t="s">
        <v>846</v>
      </c>
      <c r="C605" s="24" t="s">
        <v>216</v>
      </c>
      <c r="D605" s="24" t="s">
        <v>823</v>
      </c>
      <c r="E605" s="30"/>
      <c r="F605" s="42">
        <f t="shared" si="91"/>
        <v>500</v>
      </c>
      <c r="G605" s="42">
        <f t="shared" si="91"/>
        <v>500</v>
      </c>
    </row>
    <row r="606" spans="1:7" s="39" customFormat="1" ht="15" x14ac:dyDescent="0.2">
      <c r="A606" s="84" t="s">
        <v>473</v>
      </c>
      <c r="B606" s="30" t="s">
        <v>846</v>
      </c>
      <c r="C606" s="30" t="s">
        <v>216</v>
      </c>
      <c r="D606" s="30" t="s">
        <v>823</v>
      </c>
      <c r="E606" s="30" t="s">
        <v>226</v>
      </c>
      <c r="F606" s="41">
        <f t="shared" si="91"/>
        <v>500</v>
      </c>
      <c r="G606" s="41">
        <f t="shared" si="91"/>
        <v>500</v>
      </c>
    </row>
    <row r="607" spans="1:7" s="39" customFormat="1" ht="15" x14ac:dyDescent="0.2">
      <c r="A607" s="84" t="s">
        <v>227</v>
      </c>
      <c r="B607" s="30" t="s">
        <v>846</v>
      </c>
      <c r="C607" s="30" t="s">
        <v>216</v>
      </c>
      <c r="D607" s="30" t="s">
        <v>823</v>
      </c>
      <c r="E607" s="30" t="s">
        <v>228</v>
      </c>
      <c r="F607" s="41">
        <v>500</v>
      </c>
      <c r="G607" s="41">
        <v>500</v>
      </c>
    </row>
    <row r="608" spans="1:7" s="39" customFormat="1" ht="15" x14ac:dyDescent="0.2">
      <c r="A608" s="75" t="s">
        <v>286</v>
      </c>
      <c r="B608" s="24" t="s">
        <v>846</v>
      </c>
      <c r="C608" s="24"/>
      <c r="D608" s="24"/>
      <c r="E608" s="30"/>
      <c r="F608" s="117">
        <f t="shared" ref="F608:G611" si="92">F609</f>
        <v>3500</v>
      </c>
      <c r="G608" s="117">
        <f t="shared" si="92"/>
        <v>7000</v>
      </c>
    </row>
    <row r="609" spans="1:7" s="39" customFormat="1" ht="15" x14ac:dyDescent="0.2">
      <c r="A609" s="61" t="s">
        <v>667</v>
      </c>
      <c r="B609" s="24" t="s">
        <v>846</v>
      </c>
      <c r="C609" s="24" t="s">
        <v>731</v>
      </c>
      <c r="D609" s="24"/>
      <c r="E609" s="24"/>
      <c r="F609" s="42">
        <f t="shared" si="92"/>
        <v>3500</v>
      </c>
      <c r="G609" s="42">
        <f t="shared" si="92"/>
        <v>7000</v>
      </c>
    </row>
    <row r="610" spans="1:7" s="39" customFormat="1" ht="15" x14ac:dyDescent="0.2">
      <c r="A610" s="61" t="s">
        <v>668</v>
      </c>
      <c r="B610" s="24" t="s">
        <v>846</v>
      </c>
      <c r="C610" s="24" t="s">
        <v>731</v>
      </c>
      <c r="D610" s="24" t="s">
        <v>214</v>
      </c>
      <c r="E610" s="24"/>
      <c r="F610" s="42">
        <f t="shared" si="92"/>
        <v>3500</v>
      </c>
      <c r="G610" s="42">
        <f t="shared" si="92"/>
        <v>7000</v>
      </c>
    </row>
    <row r="611" spans="1:7" s="39" customFormat="1" ht="15" x14ac:dyDescent="0.2">
      <c r="A611" s="84" t="s">
        <v>394</v>
      </c>
      <c r="B611" s="30" t="s">
        <v>846</v>
      </c>
      <c r="C611" s="30" t="s">
        <v>731</v>
      </c>
      <c r="D611" s="30" t="s">
        <v>214</v>
      </c>
      <c r="E611" s="30" t="s">
        <v>733</v>
      </c>
      <c r="F611" s="118">
        <f t="shared" si="92"/>
        <v>3500</v>
      </c>
      <c r="G611" s="118">
        <f t="shared" si="92"/>
        <v>7000</v>
      </c>
    </row>
    <row r="612" spans="1:7" s="39" customFormat="1" ht="15" x14ac:dyDescent="0.2">
      <c r="A612" s="84" t="s">
        <v>734</v>
      </c>
      <c r="B612" s="30" t="s">
        <v>846</v>
      </c>
      <c r="C612" s="30" t="s">
        <v>731</v>
      </c>
      <c r="D612" s="30" t="s">
        <v>214</v>
      </c>
      <c r="E612" s="30" t="s">
        <v>735</v>
      </c>
      <c r="F612" s="118">
        <v>3500</v>
      </c>
      <c r="G612" s="118">
        <v>7000</v>
      </c>
    </row>
    <row r="613" spans="1:7" s="39" customFormat="1" ht="15" x14ac:dyDescent="0.2">
      <c r="A613" s="75" t="s">
        <v>286</v>
      </c>
      <c r="B613" s="106" t="s">
        <v>846</v>
      </c>
      <c r="C613" s="24"/>
      <c r="D613" s="24"/>
      <c r="E613" s="24"/>
      <c r="F613" s="42">
        <f t="shared" ref="F613:G616" si="93">F614</f>
        <v>500</v>
      </c>
      <c r="G613" s="117">
        <f t="shared" si="93"/>
        <v>0</v>
      </c>
    </row>
    <row r="614" spans="1:7" s="39" customFormat="1" ht="15" x14ac:dyDescent="0.2">
      <c r="A614" s="61" t="s">
        <v>667</v>
      </c>
      <c r="B614" s="24" t="s">
        <v>846</v>
      </c>
      <c r="C614" s="24" t="s">
        <v>731</v>
      </c>
      <c r="D614" s="30"/>
      <c r="E614" s="14"/>
      <c r="F614" s="42">
        <f t="shared" si="93"/>
        <v>500</v>
      </c>
      <c r="G614" s="117">
        <f t="shared" si="93"/>
        <v>0</v>
      </c>
    </row>
    <row r="615" spans="1:7" s="39" customFormat="1" ht="15" x14ac:dyDescent="0.2">
      <c r="A615" s="61" t="s">
        <v>669</v>
      </c>
      <c r="B615" s="24" t="s">
        <v>846</v>
      </c>
      <c r="C615" s="24" t="s">
        <v>731</v>
      </c>
      <c r="D615" s="24" t="s">
        <v>825</v>
      </c>
      <c r="E615" s="14"/>
      <c r="F615" s="42">
        <f t="shared" si="93"/>
        <v>500</v>
      </c>
      <c r="G615" s="117">
        <f t="shared" si="93"/>
        <v>0</v>
      </c>
    </row>
    <row r="616" spans="1:7" s="39" customFormat="1" ht="15" x14ac:dyDescent="0.2">
      <c r="A616" s="84" t="s">
        <v>394</v>
      </c>
      <c r="B616" s="30" t="s">
        <v>846</v>
      </c>
      <c r="C616" s="30" t="s">
        <v>731</v>
      </c>
      <c r="D616" s="30" t="s">
        <v>825</v>
      </c>
      <c r="E616" s="30" t="s">
        <v>733</v>
      </c>
      <c r="F616" s="41">
        <f t="shared" si="93"/>
        <v>500</v>
      </c>
      <c r="G616" s="118">
        <f t="shared" si="93"/>
        <v>0</v>
      </c>
    </row>
    <row r="617" spans="1:7" s="39" customFormat="1" ht="15" x14ac:dyDescent="0.2">
      <c r="A617" s="84" t="s">
        <v>734</v>
      </c>
      <c r="B617" s="30" t="s">
        <v>846</v>
      </c>
      <c r="C617" s="30" t="s">
        <v>731</v>
      </c>
      <c r="D617" s="30" t="s">
        <v>825</v>
      </c>
      <c r="E617" s="30" t="s">
        <v>735</v>
      </c>
      <c r="F617" s="41">
        <v>500</v>
      </c>
      <c r="G617" s="118">
        <v>0</v>
      </c>
    </row>
    <row r="618" spans="1:7" s="39" customFormat="1" ht="15" x14ac:dyDescent="0.2">
      <c r="A618" s="75" t="s">
        <v>286</v>
      </c>
      <c r="B618" s="24" t="s">
        <v>846</v>
      </c>
      <c r="C618" s="24"/>
      <c r="D618" s="24"/>
      <c r="E618" s="24"/>
      <c r="F618" s="117">
        <f t="shared" ref="F618:G621" si="94">F619</f>
        <v>500</v>
      </c>
      <c r="G618" s="117">
        <f t="shared" si="94"/>
        <v>500</v>
      </c>
    </row>
    <row r="619" spans="1:7" s="39" customFormat="1" ht="15" x14ac:dyDescent="0.2">
      <c r="A619" s="61" t="s">
        <v>667</v>
      </c>
      <c r="B619" s="24" t="s">
        <v>846</v>
      </c>
      <c r="C619" s="24" t="s">
        <v>731</v>
      </c>
      <c r="D619" s="24"/>
      <c r="E619" s="24"/>
      <c r="F619" s="117">
        <f t="shared" si="94"/>
        <v>500</v>
      </c>
      <c r="G619" s="117">
        <f t="shared" si="94"/>
        <v>500</v>
      </c>
    </row>
    <row r="620" spans="1:7" s="39" customFormat="1" ht="15" x14ac:dyDescent="0.2">
      <c r="A620" s="61" t="s">
        <v>671</v>
      </c>
      <c r="B620" s="24" t="s">
        <v>846</v>
      </c>
      <c r="C620" s="24" t="s">
        <v>731</v>
      </c>
      <c r="D620" s="24" t="s">
        <v>817</v>
      </c>
      <c r="E620" s="24"/>
      <c r="F620" s="117">
        <f t="shared" si="94"/>
        <v>500</v>
      </c>
      <c r="G620" s="117">
        <f t="shared" si="94"/>
        <v>500</v>
      </c>
    </row>
    <row r="621" spans="1:7" s="39" customFormat="1" ht="15" x14ac:dyDescent="0.2">
      <c r="A621" s="84" t="s">
        <v>473</v>
      </c>
      <c r="B621" s="30" t="s">
        <v>846</v>
      </c>
      <c r="C621" s="30" t="s">
        <v>731</v>
      </c>
      <c r="D621" s="30" t="s">
        <v>817</v>
      </c>
      <c r="E621" s="30" t="s">
        <v>226</v>
      </c>
      <c r="F621" s="118">
        <f t="shared" si="94"/>
        <v>500</v>
      </c>
      <c r="G621" s="118">
        <f t="shared" si="94"/>
        <v>500</v>
      </c>
    </row>
    <row r="622" spans="1:7" s="39" customFormat="1" ht="15" x14ac:dyDescent="0.2">
      <c r="A622" s="84" t="s">
        <v>227</v>
      </c>
      <c r="B622" s="30" t="s">
        <v>846</v>
      </c>
      <c r="C622" s="30" t="s">
        <v>731</v>
      </c>
      <c r="D622" s="30" t="s">
        <v>817</v>
      </c>
      <c r="E622" s="30" t="s">
        <v>228</v>
      </c>
      <c r="F622" s="118">
        <v>500</v>
      </c>
      <c r="G622" s="118">
        <v>500</v>
      </c>
    </row>
    <row r="623" spans="1:7" s="39" customFormat="1" ht="15" x14ac:dyDescent="0.2">
      <c r="A623" s="75" t="s">
        <v>286</v>
      </c>
      <c r="B623" s="106" t="s">
        <v>846</v>
      </c>
      <c r="C623" s="24"/>
      <c r="D623" s="24"/>
      <c r="E623" s="24"/>
      <c r="F623" s="117">
        <f t="shared" ref="F623:G626" si="95">F624</f>
        <v>5000</v>
      </c>
      <c r="G623" s="117">
        <f t="shared" si="95"/>
        <v>5000</v>
      </c>
    </row>
    <row r="624" spans="1:7" s="39" customFormat="1" ht="15" x14ac:dyDescent="0.2">
      <c r="A624" s="61" t="s">
        <v>673</v>
      </c>
      <c r="B624" s="106" t="s">
        <v>846</v>
      </c>
      <c r="C624" s="24" t="s">
        <v>824</v>
      </c>
      <c r="D624" s="30"/>
      <c r="E624" s="24"/>
      <c r="F624" s="117">
        <f t="shared" si="95"/>
        <v>5000</v>
      </c>
      <c r="G624" s="117">
        <f t="shared" si="95"/>
        <v>5000</v>
      </c>
    </row>
    <row r="625" spans="1:7" s="39" customFormat="1" ht="15" x14ac:dyDescent="0.2">
      <c r="A625" s="80" t="s">
        <v>677</v>
      </c>
      <c r="B625" s="106" t="s">
        <v>846</v>
      </c>
      <c r="C625" s="24" t="s">
        <v>824</v>
      </c>
      <c r="D625" s="24" t="s">
        <v>818</v>
      </c>
      <c r="E625" s="24"/>
      <c r="F625" s="117">
        <f t="shared" si="95"/>
        <v>5000</v>
      </c>
      <c r="G625" s="117">
        <f t="shared" si="95"/>
        <v>5000</v>
      </c>
    </row>
    <row r="626" spans="1:7" s="39" customFormat="1" ht="15" x14ac:dyDescent="0.2">
      <c r="A626" s="84" t="s">
        <v>473</v>
      </c>
      <c r="B626" s="30" t="s">
        <v>846</v>
      </c>
      <c r="C626" s="30" t="s">
        <v>824</v>
      </c>
      <c r="D626" s="30" t="s">
        <v>818</v>
      </c>
      <c r="E626" s="30" t="s">
        <v>226</v>
      </c>
      <c r="F626" s="118">
        <f t="shared" si="95"/>
        <v>5000</v>
      </c>
      <c r="G626" s="118">
        <f t="shared" si="95"/>
        <v>5000</v>
      </c>
    </row>
    <row r="627" spans="1:7" s="39" customFormat="1" ht="15" x14ac:dyDescent="0.2">
      <c r="A627" s="84" t="s">
        <v>227</v>
      </c>
      <c r="B627" s="30" t="s">
        <v>846</v>
      </c>
      <c r="C627" s="30" t="s">
        <v>824</v>
      </c>
      <c r="D627" s="30" t="s">
        <v>818</v>
      </c>
      <c r="E627" s="30" t="s">
        <v>228</v>
      </c>
      <c r="F627" s="118">
        <v>5000</v>
      </c>
      <c r="G627" s="118">
        <v>5000</v>
      </c>
    </row>
    <row r="628" spans="1:7" s="39" customFormat="1" ht="15" x14ac:dyDescent="0.2">
      <c r="A628" s="75" t="s">
        <v>286</v>
      </c>
      <c r="B628" s="24" t="s">
        <v>846</v>
      </c>
      <c r="C628" s="44"/>
      <c r="D628" s="44"/>
      <c r="E628" s="30"/>
      <c r="F628" s="117">
        <f>F629</f>
        <v>500</v>
      </c>
      <c r="G628" s="117">
        <f>G629</f>
        <v>500</v>
      </c>
    </row>
    <row r="629" spans="1:7" s="39" customFormat="1" ht="15" x14ac:dyDescent="0.2">
      <c r="A629" s="80" t="s">
        <v>689</v>
      </c>
      <c r="B629" s="24" t="s">
        <v>846</v>
      </c>
      <c r="C629" s="24" t="s">
        <v>822</v>
      </c>
      <c r="D629" s="24"/>
      <c r="E629" s="24"/>
      <c r="F629" s="117">
        <f>F630</f>
        <v>500</v>
      </c>
      <c r="G629" s="117">
        <f>G630</f>
        <v>500</v>
      </c>
    </row>
    <row r="630" spans="1:7" s="39" customFormat="1" ht="15" x14ac:dyDescent="0.2">
      <c r="A630" s="80" t="s">
        <v>799</v>
      </c>
      <c r="B630" s="24" t="s">
        <v>846</v>
      </c>
      <c r="C630" s="24" t="s">
        <v>822</v>
      </c>
      <c r="D630" s="24" t="s">
        <v>216</v>
      </c>
      <c r="E630" s="24"/>
      <c r="F630" s="117">
        <f>F631+F633</f>
        <v>500</v>
      </c>
      <c r="G630" s="117">
        <f>G631+G633</f>
        <v>500</v>
      </c>
    </row>
    <row r="631" spans="1:7" s="39" customFormat="1" ht="15" x14ac:dyDescent="0.2">
      <c r="A631" s="84" t="s">
        <v>473</v>
      </c>
      <c r="B631" s="30" t="s">
        <v>846</v>
      </c>
      <c r="C631" s="52" t="s">
        <v>822</v>
      </c>
      <c r="D631" s="52" t="s">
        <v>216</v>
      </c>
      <c r="E631" s="30" t="s">
        <v>226</v>
      </c>
      <c r="F631" s="118">
        <f>F632</f>
        <v>200</v>
      </c>
      <c r="G631" s="118">
        <f>G632</f>
        <v>200</v>
      </c>
    </row>
    <row r="632" spans="1:7" s="39" customFormat="1" ht="15" x14ac:dyDescent="0.2">
      <c r="A632" s="84" t="s">
        <v>227</v>
      </c>
      <c r="B632" s="30" t="s">
        <v>846</v>
      </c>
      <c r="C632" s="30" t="s">
        <v>822</v>
      </c>
      <c r="D632" s="30" t="s">
        <v>216</v>
      </c>
      <c r="E632" s="30" t="s">
        <v>228</v>
      </c>
      <c r="F632" s="118">
        <v>200</v>
      </c>
      <c r="G632" s="118">
        <v>200</v>
      </c>
    </row>
    <row r="633" spans="1:7" s="39" customFormat="1" ht="15" x14ac:dyDescent="0.2">
      <c r="A633" s="84" t="s">
        <v>394</v>
      </c>
      <c r="B633" s="30" t="s">
        <v>846</v>
      </c>
      <c r="C633" s="30" t="s">
        <v>822</v>
      </c>
      <c r="D633" s="30" t="s">
        <v>216</v>
      </c>
      <c r="E633" s="30" t="s">
        <v>733</v>
      </c>
      <c r="F633" s="118">
        <f>F634</f>
        <v>300</v>
      </c>
      <c r="G633" s="118">
        <f>G634</f>
        <v>300</v>
      </c>
    </row>
    <row r="634" spans="1:7" s="39" customFormat="1" ht="15" x14ac:dyDescent="0.2">
      <c r="A634" s="84" t="s">
        <v>734</v>
      </c>
      <c r="B634" s="30" t="s">
        <v>846</v>
      </c>
      <c r="C634" s="30" t="s">
        <v>822</v>
      </c>
      <c r="D634" s="30" t="s">
        <v>216</v>
      </c>
      <c r="E634" s="30" t="s">
        <v>735</v>
      </c>
      <c r="F634" s="118">
        <v>300</v>
      </c>
      <c r="G634" s="118">
        <v>300</v>
      </c>
    </row>
    <row r="635" spans="1:7" s="51" customFormat="1" x14ac:dyDescent="0.2">
      <c r="A635" s="75" t="s">
        <v>335</v>
      </c>
      <c r="B635" s="106" t="s">
        <v>6</v>
      </c>
      <c r="C635" s="24"/>
      <c r="D635" s="24"/>
      <c r="E635" s="24"/>
      <c r="F635" s="42">
        <f t="shared" ref="F635:G638" si="96">F636</f>
        <v>25454.400000000001</v>
      </c>
      <c r="G635" s="42">
        <f t="shared" si="96"/>
        <v>29963.5</v>
      </c>
    </row>
    <row r="636" spans="1:7" s="51" customFormat="1" x14ac:dyDescent="0.2">
      <c r="A636" s="61" t="s">
        <v>673</v>
      </c>
      <c r="B636" s="106" t="s">
        <v>6</v>
      </c>
      <c r="C636" s="24" t="s">
        <v>824</v>
      </c>
      <c r="D636" s="30"/>
      <c r="E636" s="24"/>
      <c r="F636" s="117">
        <f t="shared" si="96"/>
        <v>25454.400000000001</v>
      </c>
      <c r="G636" s="117">
        <f t="shared" si="96"/>
        <v>29963.5</v>
      </c>
    </row>
    <row r="637" spans="1:7" s="51" customFormat="1" x14ac:dyDescent="0.2">
      <c r="A637" s="80" t="s">
        <v>677</v>
      </c>
      <c r="B637" s="106" t="s">
        <v>6</v>
      </c>
      <c r="C637" s="24" t="s">
        <v>824</v>
      </c>
      <c r="D637" s="24" t="s">
        <v>818</v>
      </c>
      <c r="E637" s="24"/>
      <c r="F637" s="117">
        <f t="shared" si="96"/>
        <v>25454.400000000001</v>
      </c>
      <c r="G637" s="117">
        <f t="shared" si="96"/>
        <v>29963.5</v>
      </c>
    </row>
    <row r="638" spans="1:7" s="51" customFormat="1" x14ac:dyDescent="0.2">
      <c r="A638" s="84" t="s">
        <v>473</v>
      </c>
      <c r="B638" s="96" t="s">
        <v>6</v>
      </c>
      <c r="C638" s="30" t="s">
        <v>824</v>
      </c>
      <c r="D638" s="30" t="s">
        <v>818</v>
      </c>
      <c r="E638" s="30" t="s">
        <v>226</v>
      </c>
      <c r="F638" s="41">
        <f t="shared" si="96"/>
        <v>25454.400000000001</v>
      </c>
      <c r="G638" s="41">
        <f t="shared" si="96"/>
        <v>29963.5</v>
      </c>
    </row>
    <row r="639" spans="1:7" s="51" customFormat="1" x14ac:dyDescent="0.2">
      <c r="A639" s="84" t="s">
        <v>227</v>
      </c>
      <c r="B639" s="96" t="s">
        <v>6</v>
      </c>
      <c r="C639" s="30" t="s">
        <v>824</v>
      </c>
      <c r="D639" s="30" t="s">
        <v>818</v>
      </c>
      <c r="E639" s="30" t="s">
        <v>228</v>
      </c>
      <c r="F639" s="41">
        <f>33754.4-8300</f>
        <v>25454.400000000001</v>
      </c>
      <c r="G639" s="41">
        <v>29963.5</v>
      </c>
    </row>
    <row r="640" spans="1:7" s="51" customFormat="1" x14ac:dyDescent="0.2">
      <c r="A640" s="80" t="s">
        <v>583</v>
      </c>
      <c r="B640" s="24" t="s">
        <v>584</v>
      </c>
      <c r="C640" s="44"/>
      <c r="D640" s="44"/>
      <c r="E640" s="24"/>
      <c r="F640" s="117">
        <f t="shared" ref="F640:G643" si="97">F641</f>
        <v>0</v>
      </c>
      <c r="G640" s="117">
        <f t="shared" si="97"/>
        <v>1720</v>
      </c>
    </row>
    <row r="641" spans="1:7" s="51" customFormat="1" x14ac:dyDescent="0.2">
      <c r="A641" s="80" t="s">
        <v>689</v>
      </c>
      <c r="B641" s="24" t="s">
        <v>584</v>
      </c>
      <c r="C641" s="24" t="s">
        <v>822</v>
      </c>
      <c r="D641" s="24"/>
      <c r="E641" s="24"/>
      <c r="F641" s="117">
        <f t="shared" si="97"/>
        <v>0</v>
      </c>
      <c r="G641" s="117">
        <f t="shared" si="97"/>
        <v>1720</v>
      </c>
    </row>
    <row r="642" spans="1:7" s="51" customFormat="1" x14ac:dyDescent="0.2">
      <c r="A642" s="80" t="s">
        <v>799</v>
      </c>
      <c r="B642" s="24" t="s">
        <v>584</v>
      </c>
      <c r="C642" s="24" t="s">
        <v>822</v>
      </c>
      <c r="D642" s="24" t="s">
        <v>216</v>
      </c>
      <c r="E642" s="24"/>
      <c r="F642" s="117">
        <f t="shared" si="97"/>
        <v>0</v>
      </c>
      <c r="G642" s="117">
        <f t="shared" si="97"/>
        <v>1720</v>
      </c>
    </row>
    <row r="643" spans="1:7" s="51" customFormat="1" x14ac:dyDescent="0.2">
      <c r="A643" s="84" t="s">
        <v>394</v>
      </c>
      <c r="B643" s="30" t="s">
        <v>584</v>
      </c>
      <c r="C643" s="52" t="s">
        <v>822</v>
      </c>
      <c r="D643" s="52" t="s">
        <v>216</v>
      </c>
      <c r="E643" s="30" t="s">
        <v>733</v>
      </c>
      <c r="F643" s="118">
        <f t="shared" si="97"/>
        <v>0</v>
      </c>
      <c r="G643" s="118">
        <f t="shared" si="97"/>
        <v>1720</v>
      </c>
    </row>
    <row r="644" spans="1:7" s="51" customFormat="1" x14ac:dyDescent="0.2">
      <c r="A644" s="84" t="s">
        <v>734</v>
      </c>
      <c r="B644" s="30" t="s">
        <v>584</v>
      </c>
      <c r="C644" s="30" t="s">
        <v>822</v>
      </c>
      <c r="D644" s="30" t="s">
        <v>216</v>
      </c>
      <c r="E644" s="30" t="s">
        <v>735</v>
      </c>
      <c r="F644" s="118">
        <v>0</v>
      </c>
      <c r="G644" s="118">
        <v>1720</v>
      </c>
    </row>
    <row r="645" spans="1:7" s="51" customFormat="1" x14ac:dyDescent="0.2">
      <c r="A645" s="80" t="s">
        <v>395</v>
      </c>
      <c r="B645" s="24" t="s">
        <v>843</v>
      </c>
      <c r="C645" s="24"/>
      <c r="D645" s="24"/>
      <c r="E645" s="24"/>
      <c r="F645" s="42">
        <f t="shared" ref="F645:G648" si="98">F646</f>
        <v>1000</v>
      </c>
      <c r="G645" s="42">
        <f t="shared" si="98"/>
        <v>6000</v>
      </c>
    </row>
    <row r="646" spans="1:7" s="51" customFormat="1" x14ac:dyDescent="0.2">
      <c r="A646" s="61" t="s">
        <v>655</v>
      </c>
      <c r="B646" s="24" t="s">
        <v>843</v>
      </c>
      <c r="C646" s="24" t="s">
        <v>216</v>
      </c>
      <c r="D646" s="24"/>
      <c r="E646" s="24"/>
      <c r="F646" s="42">
        <f t="shared" si="98"/>
        <v>1000</v>
      </c>
      <c r="G646" s="42">
        <f t="shared" si="98"/>
        <v>6000</v>
      </c>
    </row>
    <row r="647" spans="1:7" s="51" customFormat="1" x14ac:dyDescent="0.2">
      <c r="A647" s="61" t="s">
        <v>698</v>
      </c>
      <c r="B647" s="24" t="s">
        <v>843</v>
      </c>
      <c r="C647" s="24" t="s">
        <v>216</v>
      </c>
      <c r="D647" s="24" t="s">
        <v>823</v>
      </c>
      <c r="E647" s="24"/>
      <c r="F647" s="42">
        <f t="shared" si="98"/>
        <v>1000</v>
      </c>
      <c r="G647" s="42">
        <f t="shared" si="98"/>
        <v>6000</v>
      </c>
    </row>
    <row r="648" spans="1:7" s="51" customFormat="1" x14ac:dyDescent="0.2">
      <c r="A648" s="84" t="s">
        <v>473</v>
      </c>
      <c r="B648" s="30" t="s">
        <v>843</v>
      </c>
      <c r="C648" s="30" t="s">
        <v>216</v>
      </c>
      <c r="D648" s="30" t="s">
        <v>823</v>
      </c>
      <c r="E648" s="30" t="s">
        <v>226</v>
      </c>
      <c r="F648" s="41">
        <f t="shared" si="98"/>
        <v>1000</v>
      </c>
      <c r="G648" s="41">
        <f t="shared" si="98"/>
        <v>6000</v>
      </c>
    </row>
    <row r="649" spans="1:7" s="51" customFormat="1" x14ac:dyDescent="0.2">
      <c r="A649" s="84" t="s">
        <v>227</v>
      </c>
      <c r="B649" s="30" t="s">
        <v>843</v>
      </c>
      <c r="C649" s="30" t="s">
        <v>216</v>
      </c>
      <c r="D649" s="30" t="s">
        <v>823</v>
      </c>
      <c r="E649" s="30" t="s">
        <v>228</v>
      </c>
      <c r="F649" s="41">
        <f>6000-5000</f>
        <v>1000</v>
      </c>
      <c r="G649" s="41">
        <v>6000</v>
      </c>
    </row>
    <row r="650" spans="1:7" s="51" customFormat="1" x14ac:dyDescent="0.2">
      <c r="A650" s="75" t="s">
        <v>2</v>
      </c>
      <c r="B650" s="24" t="s">
        <v>3</v>
      </c>
      <c r="C650" s="24"/>
      <c r="D650" s="24"/>
      <c r="E650" s="24"/>
      <c r="F650" s="42">
        <f t="shared" ref="F650:G653" si="99">F651</f>
        <v>3400</v>
      </c>
      <c r="G650" s="42">
        <f t="shared" si="99"/>
        <v>6000</v>
      </c>
    </row>
    <row r="651" spans="1:7" s="51" customFormat="1" x14ac:dyDescent="0.2">
      <c r="A651" s="61" t="s">
        <v>667</v>
      </c>
      <c r="B651" s="24" t="s">
        <v>3</v>
      </c>
      <c r="C651" s="24" t="s">
        <v>731</v>
      </c>
      <c r="D651" s="24"/>
      <c r="E651" s="24"/>
      <c r="F651" s="42">
        <f t="shared" si="99"/>
        <v>3400</v>
      </c>
      <c r="G651" s="42">
        <f t="shared" si="99"/>
        <v>6000</v>
      </c>
    </row>
    <row r="652" spans="1:7" s="51" customFormat="1" x14ac:dyDescent="0.2">
      <c r="A652" s="61" t="s">
        <v>671</v>
      </c>
      <c r="B652" s="24" t="s">
        <v>3</v>
      </c>
      <c r="C652" s="24" t="s">
        <v>731</v>
      </c>
      <c r="D652" s="24" t="s">
        <v>817</v>
      </c>
      <c r="E652" s="24"/>
      <c r="F652" s="42">
        <f t="shared" si="99"/>
        <v>3400</v>
      </c>
      <c r="G652" s="42">
        <f t="shared" si="99"/>
        <v>6000</v>
      </c>
    </row>
    <row r="653" spans="1:7" s="51" customFormat="1" x14ac:dyDescent="0.2">
      <c r="A653" s="84" t="s">
        <v>357</v>
      </c>
      <c r="B653" s="30" t="s">
        <v>3</v>
      </c>
      <c r="C653" s="30" t="s">
        <v>731</v>
      </c>
      <c r="D653" s="30" t="s">
        <v>817</v>
      </c>
      <c r="E653" s="30" t="s">
        <v>226</v>
      </c>
      <c r="F653" s="41">
        <f t="shared" si="99"/>
        <v>3400</v>
      </c>
      <c r="G653" s="41">
        <f t="shared" si="99"/>
        <v>6000</v>
      </c>
    </row>
    <row r="654" spans="1:7" s="51" customFormat="1" x14ac:dyDescent="0.2">
      <c r="A654" s="84" t="s">
        <v>227</v>
      </c>
      <c r="B654" s="30" t="s">
        <v>3</v>
      </c>
      <c r="C654" s="30" t="s">
        <v>731</v>
      </c>
      <c r="D654" s="30" t="s">
        <v>817</v>
      </c>
      <c r="E654" s="30" t="s">
        <v>228</v>
      </c>
      <c r="F654" s="41">
        <f>5000-1600</f>
        <v>3400</v>
      </c>
      <c r="G654" s="41">
        <v>6000</v>
      </c>
    </row>
    <row r="655" spans="1:7" s="51" customFormat="1" x14ac:dyDescent="0.2">
      <c r="A655" s="80" t="s">
        <v>4</v>
      </c>
      <c r="B655" s="24" t="s">
        <v>5</v>
      </c>
      <c r="C655" s="24"/>
      <c r="D655" s="24"/>
      <c r="E655" s="24"/>
      <c r="F655" s="42">
        <f t="shared" ref="F655:G658" si="100">F656</f>
        <v>3600</v>
      </c>
      <c r="G655" s="117">
        <f t="shared" si="100"/>
        <v>0</v>
      </c>
    </row>
    <row r="656" spans="1:7" s="51" customFormat="1" x14ac:dyDescent="0.2">
      <c r="A656" s="61" t="s">
        <v>667</v>
      </c>
      <c r="B656" s="24" t="s">
        <v>5</v>
      </c>
      <c r="C656" s="24" t="s">
        <v>731</v>
      </c>
      <c r="D656" s="24"/>
      <c r="E656" s="24"/>
      <c r="F656" s="42">
        <f t="shared" si="100"/>
        <v>3600</v>
      </c>
      <c r="G656" s="117">
        <f t="shared" si="100"/>
        <v>0</v>
      </c>
    </row>
    <row r="657" spans="1:7" s="51" customFormat="1" x14ac:dyDescent="0.2">
      <c r="A657" s="61" t="s">
        <v>671</v>
      </c>
      <c r="B657" s="24" t="s">
        <v>5</v>
      </c>
      <c r="C657" s="24" t="s">
        <v>731</v>
      </c>
      <c r="D657" s="24" t="s">
        <v>817</v>
      </c>
      <c r="E657" s="24"/>
      <c r="F657" s="42">
        <f t="shared" si="100"/>
        <v>3600</v>
      </c>
      <c r="G657" s="117">
        <f t="shared" si="100"/>
        <v>0</v>
      </c>
    </row>
    <row r="658" spans="1:7" s="51" customFormat="1" x14ac:dyDescent="0.2">
      <c r="A658" s="84" t="s">
        <v>357</v>
      </c>
      <c r="B658" s="30" t="s">
        <v>5</v>
      </c>
      <c r="C658" s="30" t="s">
        <v>731</v>
      </c>
      <c r="D658" s="30" t="s">
        <v>817</v>
      </c>
      <c r="E658" s="30" t="s">
        <v>226</v>
      </c>
      <c r="F658" s="41">
        <f t="shared" si="100"/>
        <v>3600</v>
      </c>
      <c r="G658" s="118">
        <f t="shared" si="100"/>
        <v>0</v>
      </c>
    </row>
    <row r="659" spans="1:7" s="51" customFormat="1" x14ac:dyDescent="0.2">
      <c r="A659" s="84" t="s">
        <v>227</v>
      </c>
      <c r="B659" s="30" t="s">
        <v>5</v>
      </c>
      <c r="C659" s="30" t="s">
        <v>731</v>
      </c>
      <c r="D659" s="30" t="s">
        <v>817</v>
      </c>
      <c r="E659" s="30" t="s">
        <v>228</v>
      </c>
      <c r="F659" s="41">
        <f>2000+1600</f>
        <v>3600</v>
      </c>
      <c r="G659" s="118">
        <v>0</v>
      </c>
    </row>
    <row r="660" spans="1:7" s="51" customFormat="1" ht="24" x14ac:dyDescent="0.2">
      <c r="A660" s="80" t="s">
        <v>613</v>
      </c>
      <c r="B660" s="24" t="s">
        <v>614</v>
      </c>
      <c r="C660" s="24"/>
      <c r="D660" s="24"/>
      <c r="E660" s="24"/>
      <c r="F660" s="42">
        <f t="shared" ref="F660:G663" si="101">F661</f>
        <v>13300</v>
      </c>
      <c r="G660" s="117">
        <f t="shared" si="101"/>
        <v>0</v>
      </c>
    </row>
    <row r="661" spans="1:7" s="51" customFormat="1" x14ac:dyDescent="0.2">
      <c r="A661" s="61" t="s">
        <v>667</v>
      </c>
      <c r="B661" s="24" t="s">
        <v>614</v>
      </c>
      <c r="C661" s="24" t="s">
        <v>731</v>
      </c>
      <c r="D661" s="24"/>
      <c r="E661" s="24"/>
      <c r="F661" s="42">
        <f t="shared" si="101"/>
        <v>13300</v>
      </c>
      <c r="G661" s="117">
        <f t="shared" si="101"/>
        <v>0</v>
      </c>
    </row>
    <row r="662" spans="1:7" s="51" customFormat="1" x14ac:dyDescent="0.2">
      <c r="A662" s="61" t="s">
        <v>668</v>
      </c>
      <c r="B662" s="24" t="s">
        <v>614</v>
      </c>
      <c r="C662" s="24" t="s">
        <v>731</v>
      </c>
      <c r="D662" s="24" t="s">
        <v>214</v>
      </c>
      <c r="E662" s="24"/>
      <c r="F662" s="42">
        <f t="shared" si="101"/>
        <v>13300</v>
      </c>
      <c r="G662" s="117">
        <f t="shared" si="101"/>
        <v>0</v>
      </c>
    </row>
    <row r="663" spans="1:7" s="51" customFormat="1" x14ac:dyDescent="0.2">
      <c r="A663" s="84" t="s">
        <v>394</v>
      </c>
      <c r="B663" s="30" t="s">
        <v>614</v>
      </c>
      <c r="C663" s="30" t="s">
        <v>731</v>
      </c>
      <c r="D663" s="30" t="s">
        <v>214</v>
      </c>
      <c r="E663" s="30" t="s">
        <v>733</v>
      </c>
      <c r="F663" s="41">
        <f t="shared" si="101"/>
        <v>13300</v>
      </c>
      <c r="G663" s="118">
        <f t="shared" si="101"/>
        <v>0</v>
      </c>
    </row>
    <row r="664" spans="1:7" s="51" customFormat="1" x14ac:dyDescent="0.2">
      <c r="A664" s="84" t="s">
        <v>734</v>
      </c>
      <c r="B664" s="30" t="s">
        <v>614</v>
      </c>
      <c r="C664" s="30" t="s">
        <v>731</v>
      </c>
      <c r="D664" s="30" t="s">
        <v>214</v>
      </c>
      <c r="E664" s="30" t="s">
        <v>735</v>
      </c>
      <c r="F664" s="41">
        <v>13300</v>
      </c>
      <c r="G664" s="118">
        <v>0</v>
      </c>
    </row>
    <row r="665" spans="1:7" s="51" customFormat="1" x14ac:dyDescent="0.2">
      <c r="A665" s="80" t="s">
        <v>486</v>
      </c>
      <c r="B665" s="24" t="s">
        <v>485</v>
      </c>
      <c r="C665" s="24"/>
      <c r="D665" s="24"/>
      <c r="E665" s="24"/>
      <c r="F665" s="42">
        <f t="shared" ref="F665:G668" si="102">F666</f>
        <v>10000</v>
      </c>
      <c r="G665" s="117">
        <f t="shared" si="102"/>
        <v>0</v>
      </c>
    </row>
    <row r="666" spans="1:7" s="51" customFormat="1" x14ac:dyDescent="0.2">
      <c r="A666" s="61" t="s">
        <v>689</v>
      </c>
      <c r="B666" s="24" t="s">
        <v>485</v>
      </c>
      <c r="C666" s="24" t="s">
        <v>822</v>
      </c>
      <c r="D666" s="24"/>
      <c r="E666" s="24"/>
      <c r="F666" s="42">
        <f t="shared" si="102"/>
        <v>10000</v>
      </c>
      <c r="G666" s="117">
        <f t="shared" si="102"/>
        <v>0</v>
      </c>
    </row>
    <row r="667" spans="1:7" s="51" customFormat="1" x14ac:dyDescent="0.2">
      <c r="A667" s="61" t="s">
        <v>799</v>
      </c>
      <c r="B667" s="24" t="s">
        <v>485</v>
      </c>
      <c r="C667" s="24" t="s">
        <v>822</v>
      </c>
      <c r="D667" s="24" t="s">
        <v>216</v>
      </c>
      <c r="E667" s="24"/>
      <c r="F667" s="42">
        <f t="shared" si="102"/>
        <v>10000</v>
      </c>
      <c r="G667" s="117">
        <f t="shared" si="102"/>
        <v>0</v>
      </c>
    </row>
    <row r="668" spans="1:7" s="51" customFormat="1" x14ac:dyDescent="0.2">
      <c r="A668" s="84" t="s">
        <v>394</v>
      </c>
      <c r="B668" s="30" t="s">
        <v>485</v>
      </c>
      <c r="C668" s="30" t="s">
        <v>822</v>
      </c>
      <c r="D668" s="30" t="s">
        <v>216</v>
      </c>
      <c r="E668" s="30" t="s">
        <v>733</v>
      </c>
      <c r="F668" s="41">
        <f t="shared" si="102"/>
        <v>10000</v>
      </c>
      <c r="G668" s="118">
        <f t="shared" si="102"/>
        <v>0</v>
      </c>
    </row>
    <row r="669" spans="1:7" s="51" customFormat="1" x14ac:dyDescent="0.2">
      <c r="A669" s="84" t="s">
        <v>734</v>
      </c>
      <c r="B669" s="30" t="s">
        <v>485</v>
      </c>
      <c r="C669" s="30" t="s">
        <v>822</v>
      </c>
      <c r="D669" s="30" t="s">
        <v>216</v>
      </c>
      <c r="E669" s="30" t="s">
        <v>735</v>
      </c>
      <c r="F669" s="41">
        <v>10000</v>
      </c>
      <c r="G669" s="118">
        <v>0</v>
      </c>
    </row>
    <row r="670" spans="1:7" s="51" customFormat="1" ht="27" x14ac:dyDescent="0.2">
      <c r="A670" s="152" t="s">
        <v>85</v>
      </c>
      <c r="B670" s="154" t="s">
        <v>175</v>
      </c>
      <c r="C670" s="154"/>
      <c r="D670" s="154"/>
      <c r="E670" s="154"/>
      <c r="F670" s="156">
        <f>F671++F677+F683+F690</f>
        <v>40163.599999999999</v>
      </c>
      <c r="G670" s="156">
        <f>G671++G677+G683+G690</f>
        <v>40163.599999999999</v>
      </c>
    </row>
    <row r="671" spans="1:7" s="51" customFormat="1" x14ac:dyDescent="0.2">
      <c r="A671" s="75" t="s">
        <v>178</v>
      </c>
      <c r="B671" s="24" t="s">
        <v>179</v>
      </c>
      <c r="C671" s="24"/>
      <c r="D671" s="24"/>
      <c r="E671" s="24"/>
      <c r="F671" s="42">
        <f t="shared" ref="F671:G675" si="103">F672</f>
        <v>3000</v>
      </c>
      <c r="G671" s="42">
        <f t="shared" si="103"/>
        <v>3000</v>
      </c>
    </row>
    <row r="672" spans="1:7" s="51" customFormat="1" ht="24" x14ac:dyDescent="0.2">
      <c r="A672" s="80" t="s">
        <v>561</v>
      </c>
      <c r="B672" s="24" t="s">
        <v>86</v>
      </c>
      <c r="C672" s="24"/>
      <c r="D672" s="24"/>
      <c r="E672" s="24"/>
      <c r="F672" s="42">
        <f t="shared" si="103"/>
        <v>3000</v>
      </c>
      <c r="G672" s="42">
        <f t="shared" si="103"/>
        <v>3000</v>
      </c>
    </row>
    <row r="673" spans="1:7" s="51" customFormat="1" x14ac:dyDescent="0.2">
      <c r="A673" s="61" t="s">
        <v>673</v>
      </c>
      <c r="B673" s="24" t="s">
        <v>86</v>
      </c>
      <c r="C673" s="24" t="s">
        <v>824</v>
      </c>
      <c r="D673" s="24"/>
      <c r="E673" s="25"/>
      <c r="F673" s="42">
        <f t="shared" si="103"/>
        <v>3000</v>
      </c>
      <c r="G673" s="42">
        <f t="shared" si="103"/>
        <v>3000</v>
      </c>
    </row>
    <row r="674" spans="1:7" s="51" customFormat="1" x14ac:dyDescent="0.2">
      <c r="A674" s="61" t="s">
        <v>676</v>
      </c>
      <c r="B674" s="24" t="s">
        <v>86</v>
      </c>
      <c r="C674" s="24" t="s">
        <v>824</v>
      </c>
      <c r="D674" s="24" t="s">
        <v>824</v>
      </c>
      <c r="E674" s="25"/>
      <c r="F674" s="42">
        <f t="shared" si="103"/>
        <v>3000</v>
      </c>
      <c r="G674" s="42">
        <f t="shared" si="103"/>
        <v>3000</v>
      </c>
    </row>
    <row r="675" spans="1:7" s="51" customFormat="1" x14ac:dyDescent="0.2">
      <c r="A675" s="84" t="s">
        <v>473</v>
      </c>
      <c r="B675" s="30" t="s">
        <v>86</v>
      </c>
      <c r="C675" s="30" t="s">
        <v>824</v>
      </c>
      <c r="D675" s="30" t="s">
        <v>824</v>
      </c>
      <c r="E675" s="30" t="s">
        <v>226</v>
      </c>
      <c r="F675" s="41">
        <f t="shared" si="103"/>
        <v>3000</v>
      </c>
      <c r="G675" s="41">
        <f t="shared" si="103"/>
        <v>3000</v>
      </c>
    </row>
    <row r="676" spans="1:7" s="51" customFormat="1" x14ac:dyDescent="0.2">
      <c r="A676" s="84" t="s">
        <v>227</v>
      </c>
      <c r="B676" s="30" t="s">
        <v>86</v>
      </c>
      <c r="C676" s="30" t="s">
        <v>824</v>
      </c>
      <c r="D676" s="30" t="s">
        <v>824</v>
      </c>
      <c r="E676" s="30" t="s">
        <v>228</v>
      </c>
      <c r="F676" s="41">
        <v>3000</v>
      </c>
      <c r="G676" s="41">
        <v>3000</v>
      </c>
    </row>
    <row r="677" spans="1:7" s="51" customFormat="1" ht="24" x14ac:dyDescent="0.2">
      <c r="A677" s="80" t="s">
        <v>202</v>
      </c>
      <c r="B677" s="24" t="s">
        <v>204</v>
      </c>
      <c r="C677" s="24"/>
      <c r="D677" s="24"/>
      <c r="E677" s="46"/>
      <c r="F677" s="42">
        <f t="shared" ref="F677:G681" si="104">F678</f>
        <v>4000</v>
      </c>
      <c r="G677" s="42">
        <f t="shared" si="104"/>
        <v>4000</v>
      </c>
    </row>
    <row r="678" spans="1:7" s="51" customFormat="1" ht="24" x14ac:dyDescent="0.2">
      <c r="A678" s="80" t="s">
        <v>562</v>
      </c>
      <c r="B678" s="24" t="s">
        <v>89</v>
      </c>
      <c r="C678" s="24"/>
      <c r="D678" s="24"/>
      <c r="E678" s="24"/>
      <c r="F678" s="42">
        <f t="shared" si="104"/>
        <v>4000</v>
      </c>
      <c r="G678" s="42">
        <f t="shared" si="104"/>
        <v>4000</v>
      </c>
    </row>
    <row r="679" spans="1:7" s="51" customFormat="1" x14ac:dyDescent="0.2">
      <c r="A679" s="80" t="s">
        <v>691</v>
      </c>
      <c r="B679" s="24" t="s">
        <v>89</v>
      </c>
      <c r="C679" s="24" t="s">
        <v>232</v>
      </c>
      <c r="D679" s="24"/>
      <c r="E679" s="25"/>
      <c r="F679" s="42">
        <f t="shared" si="104"/>
        <v>4000</v>
      </c>
      <c r="G679" s="42">
        <f t="shared" si="104"/>
        <v>4000</v>
      </c>
    </row>
    <row r="680" spans="1:7" s="51" customFormat="1" x14ac:dyDescent="0.2">
      <c r="A680" s="80" t="s">
        <v>201</v>
      </c>
      <c r="B680" s="24" t="s">
        <v>89</v>
      </c>
      <c r="C680" s="24" t="s">
        <v>232</v>
      </c>
      <c r="D680" s="24" t="s">
        <v>214</v>
      </c>
      <c r="E680" s="25"/>
      <c r="F680" s="42">
        <f t="shared" si="104"/>
        <v>4000</v>
      </c>
      <c r="G680" s="42">
        <f t="shared" si="104"/>
        <v>4000</v>
      </c>
    </row>
    <row r="681" spans="1:7" s="51" customFormat="1" x14ac:dyDescent="0.2">
      <c r="A681" s="84" t="s">
        <v>473</v>
      </c>
      <c r="B681" s="30" t="s">
        <v>89</v>
      </c>
      <c r="C681" s="30" t="s">
        <v>232</v>
      </c>
      <c r="D681" s="30" t="s">
        <v>214</v>
      </c>
      <c r="E681" s="30" t="s">
        <v>226</v>
      </c>
      <c r="F681" s="41">
        <f t="shared" si="104"/>
        <v>4000</v>
      </c>
      <c r="G681" s="41">
        <f t="shared" si="104"/>
        <v>4000</v>
      </c>
    </row>
    <row r="682" spans="1:7" s="51" customFormat="1" x14ac:dyDescent="0.2">
      <c r="A682" s="84" t="s">
        <v>227</v>
      </c>
      <c r="B682" s="30" t="s">
        <v>89</v>
      </c>
      <c r="C682" s="30" t="s">
        <v>232</v>
      </c>
      <c r="D682" s="30" t="s">
        <v>214</v>
      </c>
      <c r="E682" s="30" t="s">
        <v>228</v>
      </c>
      <c r="F682" s="41">
        <v>4000</v>
      </c>
      <c r="G682" s="41">
        <v>4000</v>
      </c>
    </row>
    <row r="683" spans="1:7" s="51" customFormat="1" ht="25.5" x14ac:dyDescent="0.2">
      <c r="A683" s="68" t="s">
        <v>174</v>
      </c>
      <c r="B683" s="24" t="s">
        <v>176</v>
      </c>
      <c r="C683" s="24"/>
      <c r="D683" s="24"/>
      <c r="E683" s="24"/>
      <c r="F683" s="42">
        <f t="shared" ref="F683:G688" si="105">F684</f>
        <v>29443.599999999999</v>
      </c>
      <c r="G683" s="42">
        <f t="shared" si="105"/>
        <v>29443.599999999999</v>
      </c>
    </row>
    <row r="684" spans="1:7" s="51" customFormat="1" ht="25.5" x14ac:dyDescent="0.2">
      <c r="A684" s="68" t="s">
        <v>177</v>
      </c>
      <c r="B684" s="24" t="s">
        <v>87</v>
      </c>
      <c r="C684" s="24"/>
      <c r="D684" s="24"/>
      <c r="E684" s="24"/>
      <c r="F684" s="42">
        <f t="shared" si="105"/>
        <v>29443.599999999999</v>
      </c>
      <c r="G684" s="42">
        <f t="shared" si="105"/>
        <v>29443.599999999999</v>
      </c>
    </row>
    <row r="685" spans="1:7" s="51" customFormat="1" x14ac:dyDescent="0.2">
      <c r="A685" s="61" t="s">
        <v>673</v>
      </c>
      <c r="B685" s="24" t="s">
        <v>87</v>
      </c>
      <c r="C685" s="24" t="s">
        <v>824</v>
      </c>
      <c r="D685" s="24"/>
      <c r="E685" s="24"/>
      <c r="F685" s="42">
        <f t="shared" si="105"/>
        <v>29443.599999999999</v>
      </c>
      <c r="G685" s="42">
        <f t="shared" si="105"/>
        <v>29443.599999999999</v>
      </c>
    </row>
    <row r="686" spans="1:7" s="51" customFormat="1" x14ac:dyDescent="0.2">
      <c r="A686" s="80" t="s">
        <v>449</v>
      </c>
      <c r="B686" s="24" t="s">
        <v>87</v>
      </c>
      <c r="C686" s="24" t="s">
        <v>824</v>
      </c>
      <c r="D686" s="24" t="s">
        <v>817</v>
      </c>
      <c r="E686" s="24"/>
      <c r="F686" s="42">
        <f t="shared" si="105"/>
        <v>29443.599999999999</v>
      </c>
      <c r="G686" s="42">
        <f t="shared" si="105"/>
        <v>29443.599999999999</v>
      </c>
    </row>
    <row r="687" spans="1:7" s="51" customFormat="1" ht="24" x14ac:dyDescent="0.2">
      <c r="A687" s="105" t="s">
        <v>494</v>
      </c>
      <c r="B687" s="33" t="s">
        <v>87</v>
      </c>
      <c r="C687" s="33" t="s">
        <v>824</v>
      </c>
      <c r="D687" s="33" t="s">
        <v>817</v>
      </c>
      <c r="E687" s="33"/>
      <c r="F687" s="101">
        <f t="shared" si="105"/>
        <v>29443.599999999999</v>
      </c>
      <c r="G687" s="101">
        <f t="shared" si="105"/>
        <v>29443.599999999999</v>
      </c>
    </row>
    <row r="688" spans="1:7" s="51" customFormat="1" ht="24" x14ac:dyDescent="0.2">
      <c r="A688" s="84" t="s">
        <v>246</v>
      </c>
      <c r="B688" s="30" t="s">
        <v>87</v>
      </c>
      <c r="C688" s="30" t="s">
        <v>824</v>
      </c>
      <c r="D688" s="30" t="s">
        <v>817</v>
      </c>
      <c r="E688" s="30" t="s">
        <v>702</v>
      </c>
      <c r="F688" s="41">
        <f t="shared" si="105"/>
        <v>29443.599999999999</v>
      </c>
      <c r="G688" s="41">
        <f t="shared" si="105"/>
        <v>29443.599999999999</v>
      </c>
    </row>
    <row r="689" spans="1:7" s="51" customFormat="1" x14ac:dyDescent="0.2">
      <c r="A689" s="84" t="s">
        <v>108</v>
      </c>
      <c r="B689" s="30" t="s">
        <v>87</v>
      </c>
      <c r="C689" s="30" t="s">
        <v>824</v>
      </c>
      <c r="D689" s="30" t="s">
        <v>817</v>
      </c>
      <c r="E689" s="30" t="s">
        <v>109</v>
      </c>
      <c r="F689" s="41">
        <v>29443.599999999999</v>
      </c>
      <c r="G689" s="41">
        <v>29443.599999999999</v>
      </c>
    </row>
    <row r="690" spans="1:7" s="51" customFormat="1" x14ac:dyDescent="0.2">
      <c r="A690" s="80" t="s">
        <v>205</v>
      </c>
      <c r="B690" s="24" t="s">
        <v>206</v>
      </c>
      <c r="C690" s="24"/>
      <c r="D690" s="24"/>
      <c r="E690" s="24"/>
      <c r="F690" s="42">
        <f>F691</f>
        <v>3720</v>
      </c>
      <c r="G690" s="42">
        <f>G691</f>
        <v>3720</v>
      </c>
    </row>
    <row r="691" spans="1:7" s="51" customFormat="1" ht="24" x14ac:dyDescent="0.2">
      <c r="A691" s="80" t="s">
        <v>501</v>
      </c>
      <c r="B691" s="24" t="s">
        <v>206</v>
      </c>
      <c r="C691" s="24"/>
      <c r="D691" s="24"/>
      <c r="E691" s="24"/>
      <c r="F691" s="42">
        <f>F692+F697</f>
        <v>3720</v>
      </c>
      <c r="G691" s="42">
        <f>G692+G697</f>
        <v>3720</v>
      </c>
    </row>
    <row r="692" spans="1:7" s="51" customFormat="1" x14ac:dyDescent="0.2">
      <c r="A692" s="80" t="s">
        <v>691</v>
      </c>
      <c r="B692" s="24" t="s">
        <v>207</v>
      </c>
      <c r="C692" s="24"/>
      <c r="D692" s="24"/>
      <c r="E692" s="24"/>
      <c r="F692" s="42">
        <f t="shared" ref="F692:G695" si="106">F693</f>
        <v>3635</v>
      </c>
      <c r="G692" s="42">
        <f t="shared" si="106"/>
        <v>3635</v>
      </c>
    </row>
    <row r="693" spans="1:7" s="51" customFormat="1" x14ac:dyDescent="0.2">
      <c r="A693" s="82" t="s">
        <v>355</v>
      </c>
      <c r="B693" s="24" t="s">
        <v>207</v>
      </c>
      <c r="C693" s="24" t="s">
        <v>232</v>
      </c>
      <c r="D693" s="24"/>
      <c r="E693" s="24"/>
      <c r="F693" s="42">
        <f t="shared" si="106"/>
        <v>3635</v>
      </c>
      <c r="G693" s="42">
        <f t="shared" si="106"/>
        <v>3635</v>
      </c>
    </row>
    <row r="694" spans="1:7" s="51" customFormat="1" x14ac:dyDescent="0.2">
      <c r="A694" s="81" t="s">
        <v>475</v>
      </c>
      <c r="B694" s="25" t="s">
        <v>207</v>
      </c>
      <c r="C694" s="24" t="s">
        <v>232</v>
      </c>
      <c r="D694" s="24" t="s">
        <v>731</v>
      </c>
      <c r="E694" s="25"/>
      <c r="F694" s="45">
        <f t="shared" si="106"/>
        <v>3635</v>
      </c>
      <c r="G694" s="45">
        <f t="shared" si="106"/>
        <v>3635</v>
      </c>
    </row>
    <row r="695" spans="1:7" s="51" customFormat="1" ht="36" x14ac:dyDescent="0.2">
      <c r="A695" s="84" t="s">
        <v>217</v>
      </c>
      <c r="B695" s="30" t="s">
        <v>207</v>
      </c>
      <c r="C695" s="30" t="s">
        <v>232</v>
      </c>
      <c r="D695" s="30" t="s">
        <v>731</v>
      </c>
      <c r="E695" s="30" t="s">
        <v>218</v>
      </c>
      <c r="F695" s="41">
        <f t="shared" si="106"/>
        <v>3635</v>
      </c>
      <c r="G695" s="41">
        <f t="shared" si="106"/>
        <v>3635</v>
      </c>
    </row>
    <row r="696" spans="1:7" s="51" customFormat="1" x14ac:dyDescent="0.2">
      <c r="A696" s="84" t="s">
        <v>219</v>
      </c>
      <c r="B696" s="30" t="s">
        <v>207</v>
      </c>
      <c r="C696" s="30" t="s">
        <v>232</v>
      </c>
      <c r="D696" s="30" t="s">
        <v>731</v>
      </c>
      <c r="E696" s="30" t="s">
        <v>224</v>
      </c>
      <c r="F696" s="41">
        <f>2740+70+825</f>
        <v>3635</v>
      </c>
      <c r="G696" s="41">
        <f>2740+70+825</f>
        <v>3635</v>
      </c>
    </row>
    <row r="697" spans="1:7" s="51" customFormat="1" x14ac:dyDescent="0.2">
      <c r="A697" s="80" t="s">
        <v>225</v>
      </c>
      <c r="B697" s="24" t="s">
        <v>208</v>
      </c>
      <c r="C697" s="24"/>
      <c r="D697" s="24"/>
      <c r="E697" s="24"/>
      <c r="F697" s="42">
        <f>F698</f>
        <v>85</v>
      </c>
      <c r="G697" s="42">
        <f>G698</f>
        <v>85</v>
      </c>
    </row>
    <row r="698" spans="1:7" s="51" customFormat="1" x14ac:dyDescent="0.2">
      <c r="A698" s="80" t="s">
        <v>691</v>
      </c>
      <c r="B698" s="24" t="s">
        <v>208</v>
      </c>
      <c r="C698" s="24" t="s">
        <v>232</v>
      </c>
      <c r="D698" s="24"/>
      <c r="E698" s="24"/>
      <c r="F698" s="42">
        <f>F699</f>
        <v>85</v>
      </c>
      <c r="G698" s="42">
        <f>G699</f>
        <v>85</v>
      </c>
    </row>
    <row r="699" spans="1:7" s="51" customFormat="1" x14ac:dyDescent="0.2">
      <c r="A699" s="82" t="s">
        <v>355</v>
      </c>
      <c r="B699" s="24" t="s">
        <v>208</v>
      </c>
      <c r="C699" s="24" t="s">
        <v>232</v>
      </c>
      <c r="D699" s="24" t="s">
        <v>731</v>
      </c>
      <c r="E699" s="24"/>
      <c r="F699" s="42">
        <f>F700+F702</f>
        <v>85</v>
      </c>
      <c r="G699" s="42">
        <f>G700+G702</f>
        <v>85</v>
      </c>
    </row>
    <row r="700" spans="1:7" s="51" customFormat="1" x14ac:dyDescent="0.2">
      <c r="A700" s="84" t="s">
        <v>473</v>
      </c>
      <c r="B700" s="30" t="s">
        <v>208</v>
      </c>
      <c r="C700" s="30" t="s">
        <v>232</v>
      </c>
      <c r="D700" s="30" t="s">
        <v>731</v>
      </c>
      <c r="E700" s="30" t="s">
        <v>226</v>
      </c>
      <c r="F700" s="41">
        <f>F701</f>
        <v>75</v>
      </c>
      <c r="G700" s="41">
        <f>G701</f>
        <v>75</v>
      </c>
    </row>
    <row r="701" spans="1:7" s="51" customFormat="1" x14ac:dyDescent="0.2">
      <c r="A701" s="84" t="s">
        <v>227</v>
      </c>
      <c r="B701" s="30" t="s">
        <v>208</v>
      </c>
      <c r="C701" s="30" t="s">
        <v>232</v>
      </c>
      <c r="D701" s="30" t="s">
        <v>731</v>
      </c>
      <c r="E701" s="30" t="s">
        <v>228</v>
      </c>
      <c r="F701" s="41">
        <v>75</v>
      </c>
      <c r="G701" s="41">
        <v>75</v>
      </c>
    </row>
    <row r="702" spans="1:7" s="51" customFormat="1" x14ac:dyDescent="0.2">
      <c r="A702" s="84" t="s">
        <v>229</v>
      </c>
      <c r="B702" s="30" t="s">
        <v>208</v>
      </c>
      <c r="C702" s="30" t="s">
        <v>232</v>
      </c>
      <c r="D702" s="30" t="s">
        <v>731</v>
      </c>
      <c r="E702" s="30" t="s">
        <v>230</v>
      </c>
      <c r="F702" s="41">
        <f>F703</f>
        <v>10</v>
      </c>
      <c r="G702" s="41">
        <f>G703</f>
        <v>10</v>
      </c>
    </row>
    <row r="703" spans="1:7" s="51" customFormat="1" x14ac:dyDescent="0.2">
      <c r="A703" s="84" t="s">
        <v>106</v>
      </c>
      <c r="B703" s="30" t="s">
        <v>208</v>
      </c>
      <c r="C703" s="30" t="s">
        <v>232</v>
      </c>
      <c r="D703" s="30" t="s">
        <v>731</v>
      </c>
      <c r="E703" s="30" t="s">
        <v>231</v>
      </c>
      <c r="F703" s="41">
        <v>10</v>
      </c>
      <c r="G703" s="41">
        <v>10</v>
      </c>
    </row>
    <row r="704" spans="1:7" s="51" customFormat="1" ht="27" x14ac:dyDescent="0.2">
      <c r="A704" s="152" t="s">
        <v>13</v>
      </c>
      <c r="B704" s="157" t="s">
        <v>14</v>
      </c>
      <c r="C704" s="154"/>
      <c r="D704" s="154"/>
      <c r="E704" s="154"/>
      <c r="F704" s="162">
        <f>F705+F710</f>
        <v>7000</v>
      </c>
      <c r="G704" s="162">
        <f>G705+G710</f>
        <v>7000</v>
      </c>
    </row>
    <row r="705" spans="1:7" s="51" customFormat="1" ht="24" x14ac:dyDescent="0.2">
      <c r="A705" s="80" t="s">
        <v>167</v>
      </c>
      <c r="B705" s="43" t="s">
        <v>582</v>
      </c>
      <c r="C705" s="30"/>
      <c r="D705" s="30"/>
      <c r="E705" s="30"/>
      <c r="F705" s="117">
        <f t="shared" ref="F705:G708" si="107">F706</f>
        <v>0</v>
      </c>
      <c r="G705" s="117">
        <f t="shared" si="107"/>
        <v>0</v>
      </c>
    </row>
    <row r="706" spans="1:7" s="51" customFormat="1" x14ac:dyDescent="0.2">
      <c r="A706" s="61" t="s">
        <v>667</v>
      </c>
      <c r="B706" s="43" t="s">
        <v>582</v>
      </c>
      <c r="C706" s="24" t="s">
        <v>731</v>
      </c>
      <c r="D706" s="24"/>
      <c r="E706" s="24"/>
      <c r="F706" s="117">
        <f t="shared" si="107"/>
        <v>0</v>
      </c>
      <c r="G706" s="117">
        <f t="shared" si="107"/>
        <v>0</v>
      </c>
    </row>
    <row r="707" spans="1:7" s="51" customFormat="1" x14ac:dyDescent="0.2">
      <c r="A707" s="61" t="s">
        <v>671</v>
      </c>
      <c r="B707" s="43" t="s">
        <v>582</v>
      </c>
      <c r="C707" s="24" t="s">
        <v>731</v>
      </c>
      <c r="D707" s="24" t="s">
        <v>817</v>
      </c>
      <c r="E707" s="24"/>
      <c r="F707" s="117">
        <f t="shared" si="107"/>
        <v>0</v>
      </c>
      <c r="G707" s="117">
        <f t="shared" si="107"/>
        <v>0</v>
      </c>
    </row>
    <row r="708" spans="1:7" s="51" customFormat="1" x14ac:dyDescent="0.2">
      <c r="A708" s="84" t="s">
        <v>473</v>
      </c>
      <c r="B708" s="40" t="s">
        <v>582</v>
      </c>
      <c r="C708" s="30" t="s">
        <v>731</v>
      </c>
      <c r="D708" s="30" t="s">
        <v>817</v>
      </c>
      <c r="E708" s="30" t="s">
        <v>226</v>
      </c>
      <c r="F708" s="118">
        <f t="shared" si="107"/>
        <v>0</v>
      </c>
      <c r="G708" s="118">
        <f t="shared" si="107"/>
        <v>0</v>
      </c>
    </row>
    <row r="709" spans="1:7" s="51" customFormat="1" x14ac:dyDescent="0.2">
      <c r="A709" s="84" t="s">
        <v>227</v>
      </c>
      <c r="B709" s="40" t="s">
        <v>582</v>
      </c>
      <c r="C709" s="30" t="s">
        <v>731</v>
      </c>
      <c r="D709" s="30" t="s">
        <v>817</v>
      </c>
      <c r="E709" s="30" t="s">
        <v>228</v>
      </c>
      <c r="F709" s="118">
        <v>0</v>
      </c>
      <c r="G709" s="118">
        <v>0</v>
      </c>
    </row>
    <row r="710" spans="1:7" s="51" customFormat="1" ht="24" x14ac:dyDescent="0.2">
      <c r="A710" s="80" t="s">
        <v>167</v>
      </c>
      <c r="B710" s="43" t="s">
        <v>88</v>
      </c>
      <c r="C710" s="30"/>
      <c r="D710" s="30"/>
      <c r="E710" s="30"/>
      <c r="F710" s="117">
        <f t="shared" ref="F710:G713" si="108">F711</f>
        <v>7000</v>
      </c>
      <c r="G710" s="117">
        <f t="shared" si="108"/>
        <v>7000</v>
      </c>
    </row>
    <row r="711" spans="1:7" s="51" customFormat="1" x14ac:dyDescent="0.2">
      <c r="A711" s="61" t="s">
        <v>667</v>
      </c>
      <c r="B711" s="43" t="s">
        <v>88</v>
      </c>
      <c r="C711" s="24" t="s">
        <v>731</v>
      </c>
      <c r="D711" s="24"/>
      <c r="E711" s="24"/>
      <c r="F711" s="117">
        <f t="shared" si="108"/>
        <v>7000</v>
      </c>
      <c r="G711" s="117">
        <f t="shared" si="108"/>
        <v>7000</v>
      </c>
    </row>
    <row r="712" spans="1:7" s="51" customFormat="1" x14ac:dyDescent="0.2">
      <c r="A712" s="61" t="s">
        <v>671</v>
      </c>
      <c r="B712" s="43" t="s">
        <v>88</v>
      </c>
      <c r="C712" s="24" t="s">
        <v>731</v>
      </c>
      <c r="D712" s="24" t="s">
        <v>817</v>
      </c>
      <c r="E712" s="24"/>
      <c r="F712" s="117">
        <f t="shared" si="108"/>
        <v>7000</v>
      </c>
      <c r="G712" s="117">
        <f t="shared" si="108"/>
        <v>7000</v>
      </c>
    </row>
    <row r="713" spans="1:7" s="51" customFormat="1" x14ac:dyDescent="0.2">
      <c r="A713" s="84" t="s">
        <v>473</v>
      </c>
      <c r="B713" s="40" t="s">
        <v>88</v>
      </c>
      <c r="C713" s="30" t="s">
        <v>731</v>
      </c>
      <c r="D713" s="30" t="s">
        <v>817</v>
      </c>
      <c r="E713" s="30" t="s">
        <v>226</v>
      </c>
      <c r="F713" s="118">
        <f t="shared" si="108"/>
        <v>7000</v>
      </c>
      <c r="G713" s="118">
        <f t="shared" si="108"/>
        <v>7000</v>
      </c>
    </row>
    <row r="714" spans="1:7" s="51" customFormat="1" x14ac:dyDescent="0.2">
      <c r="A714" s="84" t="s">
        <v>227</v>
      </c>
      <c r="B714" s="40" t="s">
        <v>88</v>
      </c>
      <c r="C714" s="30" t="s">
        <v>731</v>
      </c>
      <c r="D714" s="30" t="s">
        <v>817</v>
      </c>
      <c r="E714" s="30" t="s">
        <v>228</v>
      </c>
      <c r="F714" s="118">
        <v>7000</v>
      </c>
      <c r="G714" s="118">
        <v>7000</v>
      </c>
    </row>
    <row r="715" spans="1:7" s="51" customFormat="1" x14ac:dyDescent="0.2">
      <c r="A715" s="108" t="s">
        <v>715</v>
      </c>
      <c r="B715" s="109"/>
      <c r="C715" s="109"/>
      <c r="D715" s="109"/>
      <c r="E715" s="109"/>
      <c r="F715" s="107">
        <f>F716+F721+F732+F737+F750+F763+F774</f>
        <v>189714.2</v>
      </c>
      <c r="G715" s="107">
        <f>G716+G721+G732+G737+G750+G763+G774</f>
        <v>189714.2</v>
      </c>
    </row>
    <row r="716" spans="1:7" s="51" customFormat="1" ht="13.5" x14ac:dyDescent="0.2">
      <c r="A716" s="165" t="s">
        <v>318</v>
      </c>
      <c r="B716" s="154" t="s">
        <v>388</v>
      </c>
      <c r="C716" s="154"/>
      <c r="D716" s="154"/>
      <c r="E716" s="154"/>
      <c r="F716" s="156">
        <f t="shared" ref="F716:G719" si="109">F717</f>
        <v>1946</v>
      </c>
      <c r="G716" s="156">
        <f t="shared" si="109"/>
        <v>1946</v>
      </c>
    </row>
    <row r="717" spans="1:7" s="51" customFormat="1" x14ac:dyDescent="0.2">
      <c r="A717" s="63" t="s">
        <v>142</v>
      </c>
      <c r="B717" s="24" t="s">
        <v>390</v>
      </c>
      <c r="C717" s="24"/>
      <c r="D717" s="24"/>
      <c r="E717" s="30"/>
      <c r="F717" s="42">
        <f t="shared" si="109"/>
        <v>1946</v>
      </c>
      <c r="G717" s="42">
        <f t="shared" si="109"/>
        <v>1946</v>
      </c>
    </row>
    <row r="718" spans="1:7" s="51" customFormat="1" x14ac:dyDescent="0.2">
      <c r="A718" s="61" t="s">
        <v>256</v>
      </c>
      <c r="B718" s="24" t="s">
        <v>392</v>
      </c>
      <c r="C718" s="24" t="s">
        <v>214</v>
      </c>
      <c r="D718" s="24"/>
      <c r="E718" s="24"/>
      <c r="F718" s="42">
        <f t="shared" si="109"/>
        <v>1946</v>
      </c>
      <c r="G718" s="42">
        <f t="shared" si="109"/>
        <v>1946</v>
      </c>
    </row>
    <row r="719" spans="1:7" s="51" customFormat="1" ht="36" x14ac:dyDescent="0.2">
      <c r="A719" s="64" t="s">
        <v>217</v>
      </c>
      <c r="B719" s="30" t="s">
        <v>392</v>
      </c>
      <c r="C719" s="30" t="s">
        <v>214</v>
      </c>
      <c r="D719" s="30" t="s">
        <v>825</v>
      </c>
      <c r="E719" s="30" t="s">
        <v>218</v>
      </c>
      <c r="F719" s="41">
        <f t="shared" si="109"/>
        <v>1946</v>
      </c>
      <c r="G719" s="41">
        <f t="shared" si="109"/>
        <v>1946</v>
      </c>
    </row>
    <row r="720" spans="1:7" s="51" customFormat="1" x14ac:dyDescent="0.2">
      <c r="A720" s="64" t="s">
        <v>219</v>
      </c>
      <c r="B720" s="30" t="s">
        <v>392</v>
      </c>
      <c r="C720" s="30" t="s">
        <v>214</v>
      </c>
      <c r="D720" s="30" t="s">
        <v>825</v>
      </c>
      <c r="E720" s="30" t="s">
        <v>224</v>
      </c>
      <c r="F720" s="41">
        <v>1946</v>
      </c>
      <c r="G720" s="41">
        <v>1946</v>
      </c>
    </row>
    <row r="721" spans="1:7" s="51" customFormat="1" ht="13.5" x14ac:dyDescent="0.2">
      <c r="A721" s="165" t="s">
        <v>710</v>
      </c>
      <c r="B721" s="155" t="s">
        <v>393</v>
      </c>
      <c r="C721" s="154"/>
      <c r="D721" s="154"/>
      <c r="E721" s="155"/>
      <c r="F721" s="156">
        <f>F722+F726</f>
        <v>22847</v>
      </c>
      <c r="G721" s="156">
        <f>G722+G726</f>
        <v>22847</v>
      </c>
    </row>
    <row r="722" spans="1:7" s="51" customFormat="1" x14ac:dyDescent="0.2">
      <c r="A722" s="63" t="s">
        <v>142</v>
      </c>
      <c r="B722" s="24" t="s">
        <v>287</v>
      </c>
      <c r="C722" s="24"/>
      <c r="D722" s="24"/>
      <c r="E722" s="30"/>
      <c r="F722" s="42">
        <f t="shared" ref="F722:G724" si="110">F723</f>
        <v>19067</v>
      </c>
      <c r="G722" s="42">
        <f t="shared" si="110"/>
        <v>19067</v>
      </c>
    </row>
    <row r="723" spans="1:7" s="51" customFormat="1" x14ac:dyDescent="0.2">
      <c r="A723" s="61" t="s">
        <v>256</v>
      </c>
      <c r="B723" s="24" t="s">
        <v>397</v>
      </c>
      <c r="C723" s="24" t="s">
        <v>214</v>
      </c>
      <c r="D723" s="25"/>
      <c r="E723" s="67"/>
      <c r="F723" s="45">
        <f t="shared" si="110"/>
        <v>19067</v>
      </c>
      <c r="G723" s="45">
        <f t="shared" si="110"/>
        <v>19067</v>
      </c>
    </row>
    <row r="724" spans="1:7" s="51" customFormat="1" ht="36" x14ac:dyDescent="0.2">
      <c r="A724" s="64" t="s">
        <v>217</v>
      </c>
      <c r="B724" s="30" t="s">
        <v>397</v>
      </c>
      <c r="C724" s="30" t="s">
        <v>214</v>
      </c>
      <c r="D724" s="30" t="s">
        <v>817</v>
      </c>
      <c r="E724" s="30" t="s">
        <v>218</v>
      </c>
      <c r="F724" s="41">
        <f t="shared" si="110"/>
        <v>19067</v>
      </c>
      <c r="G724" s="41">
        <f t="shared" si="110"/>
        <v>19067</v>
      </c>
    </row>
    <row r="725" spans="1:7" s="51" customFormat="1" x14ac:dyDescent="0.2">
      <c r="A725" s="64" t="s">
        <v>219</v>
      </c>
      <c r="B725" s="30" t="s">
        <v>397</v>
      </c>
      <c r="C725" s="30" t="s">
        <v>214</v>
      </c>
      <c r="D725" s="30" t="s">
        <v>817</v>
      </c>
      <c r="E725" s="30" t="s">
        <v>224</v>
      </c>
      <c r="F725" s="41">
        <f>14008+700+4359</f>
        <v>19067</v>
      </c>
      <c r="G725" s="41">
        <f>14008+700+4359</f>
        <v>19067</v>
      </c>
    </row>
    <row r="726" spans="1:7" s="51" customFormat="1" x14ac:dyDescent="0.2">
      <c r="A726" s="61" t="s">
        <v>298</v>
      </c>
      <c r="B726" s="24" t="s">
        <v>287</v>
      </c>
      <c r="C726" s="24"/>
      <c r="D726" s="24"/>
      <c r="E726" s="30"/>
      <c r="F726" s="42">
        <f>F727</f>
        <v>3780</v>
      </c>
      <c r="G726" s="42">
        <f>G727</f>
        <v>3780</v>
      </c>
    </row>
    <row r="727" spans="1:7" s="51" customFormat="1" x14ac:dyDescent="0.2">
      <c r="A727" s="61" t="s">
        <v>256</v>
      </c>
      <c r="B727" s="24" t="s">
        <v>398</v>
      </c>
      <c r="C727" s="24" t="s">
        <v>214</v>
      </c>
      <c r="D727" s="24"/>
      <c r="E727" s="30"/>
      <c r="F727" s="42">
        <f>F728+F730</f>
        <v>3780</v>
      </c>
      <c r="G727" s="42">
        <f>G728+G730</f>
        <v>3780</v>
      </c>
    </row>
    <row r="728" spans="1:7" s="51" customFormat="1" x14ac:dyDescent="0.2">
      <c r="A728" s="64" t="s">
        <v>473</v>
      </c>
      <c r="B728" s="30" t="s">
        <v>398</v>
      </c>
      <c r="C728" s="30" t="s">
        <v>214</v>
      </c>
      <c r="D728" s="30" t="s">
        <v>817</v>
      </c>
      <c r="E728" s="30" t="s">
        <v>226</v>
      </c>
      <c r="F728" s="41">
        <f>F729</f>
        <v>3755</v>
      </c>
      <c r="G728" s="41">
        <f>G729</f>
        <v>3755</v>
      </c>
    </row>
    <row r="729" spans="1:7" s="51" customFormat="1" x14ac:dyDescent="0.2">
      <c r="A729" s="64" t="s">
        <v>227</v>
      </c>
      <c r="B729" s="30" t="s">
        <v>398</v>
      </c>
      <c r="C729" s="30" t="s">
        <v>214</v>
      </c>
      <c r="D729" s="30" t="s">
        <v>817</v>
      </c>
      <c r="E729" s="30" t="s">
        <v>228</v>
      </c>
      <c r="F729" s="41">
        <v>3755</v>
      </c>
      <c r="G729" s="41">
        <v>3755</v>
      </c>
    </row>
    <row r="730" spans="1:7" s="51" customFormat="1" x14ac:dyDescent="0.2">
      <c r="A730" s="64" t="s">
        <v>229</v>
      </c>
      <c r="B730" s="30" t="s">
        <v>398</v>
      </c>
      <c r="C730" s="30" t="s">
        <v>214</v>
      </c>
      <c r="D730" s="30" t="s">
        <v>817</v>
      </c>
      <c r="E730" s="30" t="s">
        <v>230</v>
      </c>
      <c r="F730" s="41">
        <f>F731</f>
        <v>25</v>
      </c>
      <c r="G730" s="41">
        <f>G731</f>
        <v>25</v>
      </c>
    </row>
    <row r="731" spans="1:7" s="51" customFormat="1" x14ac:dyDescent="0.2">
      <c r="A731" s="64" t="s">
        <v>106</v>
      </c>
      <c r="B731" s="30" t="s">
        <v>398</v>
      </c>
      <c r="C731" s="30" t="s">
        <v>214</v>
      </c>
      <c r="D731" s="30" t="s">
        <v>817</v>
      </c>
      <c r="E731" s="30" t="s">
        <v>231</v>
      </c>
      <c r="F731" s="41">
        <v>25</v>
      </c>
      <c r="G731" s="41">
        <v>25</v>
      </c>
    </row>
    <row r="732" spans="1:7" s="51" customFormat="1" ht="27" x14ac:dyDescent="0.2">
      <c r="A732" s="165" t="s">
        <v>711</v>
      </c>
      <c r="B732" s="154" t="s">
        <v>379</v>
      </c>
      <c r="C732" s="154"/>
      <c r="D732" s="154"/>
      <c r="E732" s="154"/>
      <c r="F732" s="156">
        <f t="shared" ref="F732:G735" si="111">F733</f>
        <v>1800</v>
      </c>
      <c r="G732" s="156">
        <f t="shared" si="111"/>
        <v>1800</v>
      </c>
    </row>
    <row r="733" spans="1:7" s="51" customFormat="1" x14ac:dyDescent="0.2">
      <c r="A733" s="63" t="s">
        <v>475</v>
      </c>
      <c r="B733" s="24" t="s">
        <v>380</v>
      </c>
      <c r="C733" s="24"/>
      <c r="D733" s="24"/>
      <c r="E733" s="24"/>
      <c r="F733" s="42">
        <f t="shared" si="111"/>
        <v>1800</v>
      </c>
      <c r="G733" s="42">
        <f t="shared" si="111"/>
        <v>1800</v>
      </c>
    </row>
    <row r="734" spans="1:7" s="51" customFormat="1" x14ac:dyDescent="0.2">
      <c r="A734" s="61" t="s">
        <v>256</v>
      </c>
      <c r="B734" s="24" t="s">
        <v>381</v>
      </c>
      <c r="C734" s="24" t="s">
        <v>214</v>
      </c>
      <c r="D734" s="24"/>
      <c r="E734" s="24"/>
      <c r="F734" s="42">
        <f t="shared" si="111"/>
        <v>1800</v>
      </c>
      <c r="G734" s="42">
        <f t="shared" si="111"/>
        <v>1800</v>
      </c>
    </row>
    <row r="735" spans="1:7" s="51" customFormat="1" ht="36" x14ac:dyDescent="0.2">
      <c r="A735" s="64" t="s">
        <v>217</v>
      </c>
      <c r="B735" s="30" t="s">
        <v>381</v>
      </c>
      <c r="C735" s="30" t="s">
        <v>214</v>
      </c>
      <c r="D735" s="30" t="s">
        <v>216</v>
      </c>
      <c r="E735" s="30" t="s">
        <v>218</v>
      </c>
      <c r="F735" s="41">
        <f t="shared" si="111"/>
        <v>1800</v>
      </c>
      <c r="G735" s="41">
        <f t="shared" si="111"/>
        <v>1800</v>
      </c>
    </row>
    <row r="736" spans="1:7" s="51" customFormat="1" x14ac:dyDescent="0.2">
      <c r="A736" s="64" t="s">
        <v>219</v>
      </c>
      <c r="B736" s="30" t="s">
        <v>381</v>
      </c>
      <c r="C736" s="30" t="s">
        <v>214</v>
      </c>
      <c r="D736" s="30" t="s">
        <v>216</v>
      </c>
      <c r="E736" s="30" t="s">
        <v>224</v>
      </c>
      <c r="F736" s="41">
        <v>1800</v>
      </c>
      <c r="G736" s="41">
        <v>1800</v>
      </c>
    </row>
    <row r="737" spans="1:7" s="51" customFormat="1" ht="27" x14ac:dyDescent="0.2">
      <c r="A737" s="166" t="s">
        <v>713</v>
      </c>
      <c r="B737" s="154" t="s">
        <v>400</v>
      </c>
      <c r="C737" s="167"/>
      <c r="D737" s="167"/>
      <c r="E737" s="167"/>
      <c r="F737" s="156">
        <f>F738+F743</f>
        <v>14722</v>
      </c>
      <c r="G737" s="156">
        <f>G738+G743</f>
        <v>14722</v>
      </c>
    </row>
    <row r="738" spans="1:7" s="51" customFormat="1" ht="24" x14ac:dyDescent="0.2">
      <c r="A738" s="63" t="s">
        <v>714</v>
      </c>
      <c r="B738" s="24" t="s">
        <v>401</v>
      </c>
      <c r="C738" s="24"/>
      <c r="D738" s="24"/>
      <c r="E738" s="24"/>
      <c r="F738" s="42">
        <f t="shared" ref="F738:G741" si="112">F739</f>
        <v>11923</v>
      </c>
      <c r="G738" s="42">
        <f t="shared" si="112"/>
        <v>11923</v>
      </c>
    </row>
    <row r="739" spans="1:7" s="51" customFormat="1" x14ac:dyDescent="0.2">
      <c r="A739" s="61" t="s">
        <v>256</v>
      </c>
      <c r="B739" s="24" t="s">
        <v>402</v>
      </c>
      <c r="C739" s="24" t="s">
        <v>214</v>
      </c>
      <c r="D739" s="24"/>
      <c r="E739" s="24"/>
      <c r="F739" s="42">
        <f t="shared" si="112"/>
        <v>11923</v>
      </c>
      <c r="G739" s="42">
        <f t="shared" si="112"/>
        <v>11923</v>
      </c>
    </row>
    <row r="740" spans="1:7" s="51" customFormat="1" ht="24" x14ac:dyDescent="0.2">
      <c r="A740" s="61" t="s">
        <v>506</v>
      </c>
      <c r="B740" s="24" t="s">
        <v>402</v>
      </c>
      <c r="C740" s="24" t="s">
        <v>214</v>
      </c>
      <c r="D740" s="24" t="s">
        <v>474</v>
      </c>
      <c r="E740" s="24"/>
      <c r="F740" s="42">
        <f t="shared" si="112"/>
        <v>11923</v>
      </c>
      <c r="G740" s="42">
        <f t="shared" si="112"/>
        <v>11923</v>
      </c>
    </row>
    <row r="741" spans="1:7" s="51" customFormat="1" ht="36" x14ac:dyDescent="0.2">
      <c r="A741" s="64" t="s">
        <v>217</v>
      </c>
      <c r="B741" s="30" t="s">
        <v>402</v>
      </c>
      <c r="C741" s="30" t="s">
        <v>214</v>
      </c>
      <c r="D741" s="30" t="s">
        <v>474</v>
      </c>
      <c r="E741" s="30" t="s">
        <v>218</v>
      </c>
      <c r="F741" s="41">
        <f t="shared" si="112"/>
        <v>11923</v>
      </c>
      <c r="G741" s="41">
        <f t="shared" si="112"/>
        <v>11923</v>
      </c>
    </row>
    <row r="742" spans="1:7" s="48" customFormat="1" x14ac:dyDescent="0.2">
      <c r="A742" s="64" t="s">
        <v>219</v>
      </c>
      <c r="B742" s="30" t="s">
        <v>402</v>
      </c>
      <c r="C742" s="30" t="s">
        <v>214</v>
      </c>
      <c r="D742" s="30" t="s">
        <v>474</v>
      </c>
      <c r="E742" s="30" t="s">
        <v>224</v>
      </c>
      <c r="F742" s="41">
        <f>9403+20+2500</f>
        <v>11923</v>
      </c>
      <c r="G742" s="41">
        <f>9403+20+2500</f>
        <v>11923</v>
      </c>
    </row>
    <row r="743" spans="1:7" s="48" customFormat="1" ht="24" x14ac:dyDescent="0.2">
      <c r="A743" s="61" t="s">
        <v>152</v>
      </c>
      <c r="B743" s="24" t="s">
        <v>401</v>
      </c>
      <c r="C743" s="24"/>
      <c r="D743" s="24"/>
      <c r="E743" s="24"/>
      <c r="F743" s="42">
        <f>F744</f>
        <v>2799</v>
      </c>
      <c r="G743" s="42">
        <f>G744</f>
        <v>2799</v>
      </c>
    </row>
    <row r="744" spans="1:7" s="51" customFormat="1" x14ac:dyDescent="0.2">
      <c r="A744" s="61" t="s">
        <v>256</v>
      </c>
      <c r="B744" s="24" t="s">
        <v>403</v>
      </c>
      <c r="C744" s="24" t="s">
        <v>214</v>
      </c>
      <c r="D744" s="24"/>
      <c r="E744" s="24"/>
      <c r="F744" s="42">
        <f>F745</f>
        <v>2799</v>
      </c>
      <c r="G744" s="42">
        <f>G745</f>
        <v>2799</v>
      </c>
    </row>
    <row r="745" spans="1:7" s="51" customFormat="1" ht="24" x14ac:dyDescent="0.2">
      <c r="A745" s="61" t="s">
        <v>506</v>
      </c>
      <c r="B745" s="24" t="s">
        <v>403</v>
      </c>
      <c r="C745" s="24" t="s">
        <v>214</v>
      </c>
      <c r="D745" s="24" t="s">
        <v>474</v>
      </c>
      <c r="E745" s="24"/>
      <c r="F745" s="42">
        <f>F746+F748</f>
        <v>2799</v>
      </c>
      <c r="G745" s="42">
        <f>G746+G748</f>
        <v>2799</v>
      </c>
    </row>
    <row r="746" spans="1:7" s="51" customFormat="1" x14ac:dyDescent="0.2">
      <c r="A746" s="64" t="s">
        <v>473</v>
      </c>
      <c r="B746" s="30" t="s">
        <v>403</v>
      </c>
      <c r="C746" s="30" t="s">
        <v>214</v>
      </c>
      <c r="D746" s="30" t="s">
        <v>474</v>
      </c>
      <c r="E746" s="30" t="s">
        <v>226</v>
      </c>
      <c r="F746" s="41">
        <f>F747</f>
        <v>2785</v>
      </c>
      <c r="G746" s="41">
        <f>G747</f>
        <v>2785</v>
      </c>
    </row>
    <row r="747" spans="1:7" s="51" customFormat="1" x14ac:dyDescent="0.2">
      <c r="A747" s="64" t="s">
        <v>227</v>
      </c>
      <c r="B747" s="30" t="s">
        <v>403</v>
      </c>
      <c r="C747" s="30" t="s">
        <v>214</v>
      </c>
      <c r="D747" s="30" t="s">
        <v>474</v>
      </c>
      <c r="E747" s="30" t="s">
        <v>228</v>
      </c>
      <c r="F747" s="41">
        <v>2785</v>
      </c>
      <c r="G747" s="41">
        <v>2785</v>
      </c>
    </row>
    <row r="748" spans="1:7" s="51" customFormat="1" x14ac:dyDescent="0.2">
      <c r="A748" s="64" t="s">
        <v>229</v>
      </c>
      <c r="B748" s="30" t="s">
        <v>403</v>
      </c>
      <c r="C748" s="30" t="s">
        <v>214</v>
      </c>
      <c r="D748" s="30" t="s">
        <v>474</v>
      </c>
      <c r="E748" s="30" t="s">
        <v>230</v>
      </c>
      <c r="F748" s="41">
        <f>F749</f>
        <v>14</v>
      </c>
      <c r="G748" s="41">
        <f>G749</f>
        <v>14</v>
      </c>
    </row>
    <row r="749" spans="1:7" s="51" customFormat="1" x14ac:dyDescent="0.2">
      <c r="A749" s="64" t="s">
        <v>106</v>
      </c>
      <c r="B749" s="30" t="s">
        <v>403</v>
      </c>
      <c r="C749" s="30" t="s">
        <v>214</v>
      </c>
      <c r="D749" s="30" t="s">
        <v>474</v>
      </c>
      <c r="E749" s="30" t="s">
        <v>231</v>
      </c>
      <c r="F749" s="41">
        <v>14</v>
      </c>
      <c r="G749" s="41">
        <v>14</v>
      </c>
    </row>
    <row r="750" spans="1:7" s="51" customFormat="1" ht="13.5" x14ac:dyDescent="0.2">
      <c r="A750" s="166" t="s">
        <v>242</v>
      </c>
      <c r="B750" s="154" t="s">
        <v>382</v>
      </c>
      <c r="C750" s="167"/>
      <c r="D750" s="167"/>
      <c r="E750" s="167"/>
      <c r="F750" s="156">
        <f>F751+F756</f>
        <v>15389</v>
      </c>
      <c r="G750" s="156">
        <f>G751+G756</f>
        <v>15389</v>
      </c>
    </row>
    <row r="751" spans="1:7" s="51" customFormat="1" ht="24" x14ac:dyDescent="0.2">
      <c r="A751" s="63" t="s">
        <v>243</v>
      </c>
      <c r="B751" s="24" t="s">
        <v>383</v>
      </c>
      <c r="C751" s="24"/>
      <c r="D751" s="24"/>
      <c r="E751" s="24"/>
      <c r="F751" s="42">
        <f t="shared" ref="F751:G754" si="113">F752</f>
        <v>12615</v>
      </c>
      <c r="G751" s="42">
        <f t="shared" si="113"/>
        <v>12615</v>
      </c>
    </row>
    <row r="752" spans="1:7" s="32" customFormat="1" x14ac:dyDescent="0.2">
      <c r="A752" s="61" t="s">
        <v>256</v>
      </c>
      <c r="B752" s="24" t="s">
        <v>383</v>
      </c>
      <c r="C752" s="24" t="s">
        <v>214</v>
      </c>
      <c r="D752" s="24"/>
      <c r="E752" s="24"/>
      <c r="F752" s="42">
        <f t="shared" si="113"/>
        <v>12615</v>
      </c>
      <c r="G752" s="42">
        <f t="shared" si="113"/>
        <v>12615</v>
      </c>
    </row>
    <row r="753" spans="1:7" s="32" customFormat="1" ht="24" x14ac:dyDescent="0.2">
      <c r="A753" s="61" t="s">
        <v>506</v>
      </c>
      <c r="B753" s="24" t="s">
        <v>384</v>
      </c>
      <c r="C753" s="24" t="s">
        <v>214</v>
      </c>
      <c r="D753" s="24" t="s">
        <v>474</v>
      </c>
      <c r="E753" s="24"/>
      <c r="F753" s="42">
        <f t="shared" si="113"/>
        <v>12615</v>
      </c>
      <c r="G753" s="42">
        <f t="shared" si="113"/>
        <v>12615</v>
      </c>
    </row>
    <row r="754" spans="1:7" s="32" customFormat="1" ht="36" x14ac:dyDescent="0.2">
      <c r="A754" s="64" t="s">
        <v>217</v>
      </c>
      <c r="B754" s="30" t="s">
        <v>384</v>
      </c>
      <c r="C754" s="30" t="s">
        <v>214</v>
      </c>
      <c r="D754" s="30" t="s">
        <v>474</v>
      </c>
      <c r="E754" s="30" t="s">
        <v>218</v>
      </c>
      <c r="F754" s="41">
        <f t="shared" si="113"/>
        <v>12615</v>
      </c>
      <c r="G754" s="41">
        <f t="shared" si="113"/>
        <v>12615</v>
      </c>
    </row>
    <row r="755" spans="1:7" s="32" customFormat="1" x14ac:dyDescent="0.2">
      <c r="A755" s="64" t="s">
        <v>219</v>
      </c>
      <c r="B755" s="30" t="s">
        <v>384</v>
      </c>
      <c r="C755" s="30" t="s">
        <v>214</v>
      </c>
      <c r="D755" s="30" t="s">
        <v>474</v>
      </c>
      <c r="E755" s="30" t="s">
        <v>224</v>
      </c>
      <c r="F755" s="41">
        <v>12615</v>
      </c>
      <c r="G755" s="41">
        <v>12615</v>
      </c>
    </row>
    <row r="756" spans="1:7" s="32" customFormat="1" x14ac:dyDescent="0.2">
      <c r="A756" s="61" t="s">
        <v>244</v>
      </c>
      <c r="B756" s="24" t="s">
        <v>383</v>
      </c>
      <c r="C756" s="24"/>
      <c r="D756" s="24"/>
      <c r="E756" s="24"/>
      <c r="F756" s="42">
        <f>F757</f>
        <v>2774</v>
      </c>
      <c r="G756" s="42">
        <f>G757</f>
        <v>2774</v>
      </c>
    </row>
    <row r="757" spans="1:7" s="32" customFormat="1" x14ac:dyDescent="0.2">
      <c r="A757" s="61" t="s">
        <v>256</v>
      </c>
      <c r="B757" s="24" t="s">
        <v>385</v>
      </c>
      <c r="C757" s="24" t="s">
        <v>214</v>
      </c>
      <c r="D757" s="24"/>
      <c r="E757" s="24"/>
      <c r="F757" s="42">
        <f>F758</f>
        <v>2774</v>
      </c>
      <c r="G757" s="42">
        <f>G758</f>
        <v>2774</v>
      </c>
    </row>
    <row r="758" spans="1:7" s="32" customFormat="1" ht="24" x14ac:dyDescent="0.2">
      <c r="A758" s="61" t="s">
        <v>506</v>
      </c>
      <c r="B758" s="24" t="s">
        <v>385</v>
      </c>
      <c r="C758" s="24" t="s">
        <v>214</v>
      </c>
      <c r="D758" s="24" t="s">
        <v>474</v>
      </c>
      <c r="E758" s="24"/>
      <c r="F758" s="42">
        <f>F759+F761</f>
        <v>2774</v>
      </c>
      <c r="G758" s="42">
        <f>G759+G761</f>
        <v>2774</v>
      </c>
    </row>
    <row r="759" spans="1:7" s="32" customFormat="1" x14ac:dyDescent="0.2">
      <c r="A759" s="64" t="s">
        <v>473</v>
      </c>
      <c r="B759" s="30" t="s">
        <v>385</v>
      </c>
      <c r="C759" s="30" t="s">
        <v>214</v>
      </c>
      <c r="D759" s="30" t="s">
        <v>474</v>
      </c>
      <c r="E759" s="30" t="s">
        <v>226</v>
      </c>
      <c r="F759" s="41">
        <f>F760</f>
        <v>2769</v>
      </c>
      <c r="G759" s="41">
        <f>G760</f>
        <v>2769</v>
      </c>
    </row>
    <row r="760" spans="1:7" s="32" customFormat="1" x14ac:dyDescent="0.2">
      <c r="A760" s="64" t="s">
        <v>227</v>
      </c>
      <c r="B760" s="30" t="s">
        <v>385</v>
      </c>
      <c r="C760" s="30" t="s">
        <v>214</v>
      </c>
      <c r="D760" s="30" t="s">
        <v>474</v>
      </c>
      <c r="E760" s="30" t="s">
        <v>228</v>
      </c>
      <c r="F760" s="41">
        <v>2769</v>
      </c>
      <c r="G760" s="41">
        <v>2769</v>
      </c>
    </row>
    <row r="761" spans="1:7" s="32" customFormat="1" x14ac:dyDescent="0.2">
      <c r="A761" s="64" t="s">
        <v>229</v>
      </c>
      <c r="B761" s="30" t="s">
        <v>385</v>
      </c>
      <c r="C761" s="30" t="s">
        <v>214</v>
      </c>
      <c r="D761" s="30" t="s">
        <v>474</v>
      </c>
      <c r="E761" s="30" t="s">
        <v>230</v>
      </c>
      <c r="F761" s="41">
        <f>F762</f>
        <v>5</v>
      </c>
      <c r="G761" s="41">
        <f>G762</f>
        <v>5</v>
      </c>
    </row>
    <row r="762" spans="1:7" s="32" customFormat="1" x14ac:dyDescent="0.2">
      <c r="A762" s="64" t="s">
        <v>106</v>
      </c>
      <c r="B762" s="30" t="s">
        <v>385</v>
      </c>
      <c r="C762" s="30" t="s">
        <v>214</v>
      </c>
      <c r="D762" s="30" t="s">
        <v>474</v>
      </c>
      <c r="E762" s="30" t="s">
        <v>231</v>
      </c>
      <c r="F762" s="41">
        <v>5</v>
      </c>
      <c r="G762" s="41">
        <v>5</v>
      </c>
    </row>
    <row r="763" spans="1:7" s="32" customFormat="1" ht="13.5" x14ac:dyDescent="0.2">
      <c r="A763" s="166" t="s">
        <v>712</v>
      </c>
      <c r="B763" s="154" t="s">
        <v>382</v>
      </c>
      <c r="C763" s="154"/>
      <c r="D763" s="154"/>
      <c r="E763" s="167"/>
      <c r="F763" s="156">
        <f>F764+F768</f>
        <v>126722.2</v>
      </c>
      <c r="G763" s="156">
        <f>G764+G768</f>
        <v>126722.2</v>
      </c>
    </row>
    <row r="764" spans="1:7" s="32" customFormat="1" x14ac:dyDescent="0.2">
      <c r="A764" s="63" t="s">
        <v>475</v>
      </c>
      <c r="B764" s="24" t="s">
        <v>383</v>
      </c>
      <c r="C764" s="24"/>
      <c r="D764" s="24"/>
      <c r="E764" s="24"/>
      <c r="F764" s="42">
        <f t="shared" ref="F764:G766" si="114">F765</f>
        <v>102507.2</v>
      </c>
      <c r="G764" s="42">
        <f t="shared" si="114"/>
        <v>102507.2</v>
      </c>
    </row>
    <row r="765" spans="1:7" s="32" customFormat="1" x14ac:dyDescent="0.2">
      <c r="A765" s="61" t="s">
        <v>256</v>
      </c>
      <c r="B765" s="24" t="s">
        <v>384</v>
      </c>
      <c r="C765" s="24" t="s">
        <v>214</v>
      </c>
      <c r="D765" s="24"/>
      <c r="E765" s="24"/>
      <c r="F765" s="42">
        <f t="shared" si="114"/>
        <v>102507.2</v>
      </c>
      <c r="G765" s="42">
        <f t="shared" si="114"/>
        <v>102507.2</v>
      </c>
    </row>
    <row r="766" spans="1:7" s="32" customFormat="1" ht="36" x14ac:dyDescent="0.2">
      <c r="A766" s="64" t="s">
        <v>217</v>
      </c>
      <c r="B766" s="30" t="s">
        <v>384</v>
      </c>
      <c r="C766" s="30" t="s">
        <v>214</v>
      </c>
      <c r="D766" s="30" t="s">
        <v>216</v>
      </c>
      <c r="E766" s="30" t="s">
        <v>218</v>
      </c>
      <c r="F766" s="41">
        <f t="shared" si="114"/>
        <v>102507.2</v>
      </c>
      <c r="G766" s="41">
        <f t="shared" si="114"/>
        <v>102507.2</v>
      </c>
    </row>
    <row r="767" spans="1:7" s="32" customFormat="1" x14ac:dyDescent="0.2">
      <c r="A767" s="64" t="s">
        <v>219</v>
      </c>
      <c r="B767" s="30" t="s">
        <v>384</v>
      </c>
      <c r="C767" s="30" t="s">
        <v>214</v>
      </c>
      <c r="D767" s="30" t="s">
        <v>216</v>
      </c>
      <c r="E767" s="30" t="s">
        <v>224</v>
      </c>
      <c r="F767" s="41">
        <v>102507.2</v>
      </c>
      <c r="G767" s="41">
        <v>102507.2</v>
      </c>
    </row>
    <row r="768" spans="1:7" s="32" customFormat="1" x14ac:dyDescent="0.2">
      <c r="A768" s="61" t="s">
        <v>225</v>
      </c>
      <c r="B768" s="24" t="s">
        <v>383</v>
      </c>
      <c r="C768" s="24"/>
      <c r="D768" s="24"/>
      <c r="E768" s="24"/>
      <c r="F768" s="42">
        <f>F769</f>
        <v>24215</v>
      </c>
      <c r="G768" s="42">
        <f>G769</f>
        <v>24215</v>
      </c>
    </row>
    <row r="769" spans="1:7" s="32" customFormat="1" x14ac:dyDescent="0.2">
      <c r="A769" s="61" t="s">
        <v>256</v>
      </c>
      <c r="B769" s="24" t="s">
        <v>385</v>
      </c>
      <c r="C769" s="24" t="s">
        <v>214</v>
      </c>
      <c r="D769" s="24"/>
      <c r="E769" s="24"/>
      <c r="F769" s="42">
        <f>F770+F772</f>
        <v>24215</v>
      </c>
      <c r="G769" s="42">
        <f>G770+G772</f>
        <v>24215</v>
      </c>
    </row>
    <row r="770" spans="1:7" s="32" customFormat="1" x14ac:dyDescent="0.2">
      <c r="A770" s="64" t="s">
        <v>473</v>
      </c>
      <c r="B770" s="30" t="s">
        <v>385</v>
      </c>
      <c r="C770" s="30" t="s">
        <v>214</v>
      </c>
      <c r="D770" s="30" t="s">
        <v>216</v>
      </c>
      <c r="E770" s="30" t="s">
        <v>226</v>
      </c>
      <c r="F770" s="41">
        <f>F771</f>
        <v>23363</v>
      </c>
      <c r="G770" s="41">
        <f>G771</f>
        <v>23363</v>
      </c>
    </row>
    <row r="771" spans="1:7" s="32" customFormat="1" x14ac:dyDescent="0.2">
      <c r="A771" s="64" t="s">
        <v>227</v>
      </c>
      <c r="B771" s="30" t="s">
        <v>385</v>
      </c>
      <c r="C771" s="30" t="s">
        <v>214</v>
      </c>
      <c r="D771" s="30" t="s">
        <v>216</v>
      </c>
      <c r="E771" s="30" t="s">
        <v>228</v>
      </c>
      <c r="F771" s="41">
        <v>23363</v>
      </c>
      <c r="G771" s="41">
        <v>23363</v>
      </c>
    </row>
    <row r="772" spans="1:7" s="32" customFormat="1" x14ac:dyDescent="0.2">
      <c r="A772" s="64" t="s">
        <v>229</v>
      </c>
      <c r="B772" s="30" t="s">
        <v>385</v>
      </c>
      <c r="C772" s="30" t="s">
        <v>214</v>
      </c>
      <c r="D772" s="30" t="s">
        <v>216</v>
      </c>
      <c r="E772" s="30" t="s">
        <v>230</v>
      </c>
      <c r="F772" s="41">
        <f>F773</f>
        <v>852</v>
      </c>
      <c r="G772" s="41">
        <f>G773</f>
        <v>852</v>
      </c>
    </row>
    <row r="773" spans="1:7" s="32" customFormat="1" x14ac:dyDescent="0.2">
      <c r="A773" s="64" t="s">
        <v>106</v>
      </c>
      <c r="B773" s="30" t="s">
        <v>385</v>
      </c>
      <c r="C773" s="30" t="s">
        <v>214</v>
      </c>
      <c r="D773" s="30" t="s">
        <v>216</v>
      </c>
      <c r="E773" s="30" t="s">
        <v>231</v>
      </c>
      <c r="F773" s="41">
        <v>852</v>
      </c>
      <c r="G773" s="41">
        <v>852</v>
      </c>
    </row>
    <row r="774" spans="1:7" s="32" customFormat="1" ht="13.5" x14ac:dyDescent="0.2">
      <c r="A774" s="166" t="s">
        <v>712</v>
      </c>
      <c r="B774" s="154" t="s">
        <v>382</v>
      </c>
      <c r="C774" s="154"/>
      <c r="D774" s="154"/>
      <c r="E774" s="154"/>
      <c r="F774" s="156">
        <f>F775+F780</f>
        <v>6288</v>
      </c>
      <c r="G774" s="156">
        <f>G775+G780</f>
        <v>6288</v>
      </c>
    </row>
    <row r="775" spans="1:7" s="32" customFormat="1" x14ac:dyDescent="0.2">
      <c r="A775" s="63" t="s">
        <v>475</v>
      </c>
      <c r="B775" s="24" t="s">
        <v>383</v>
      </c>
      <c r="C775" s="24"/>
      <c r="D775" s="24"/>
      <c r="E775" s="24"/>
      <c r="F775" s="42">
        <f t="shared" ref="F775:G778" si="115">F776</f>
        <v>5388</v>
      </c>
      <c r="G775" s="42">
        <f t="shared" si="115"/>
        <v>5388</v>
      </c>
    </row>
    <row r="776" spans="1:7" s="32" customFormat="1" x14ac:dyDescent="0.2">
      <c r="A776" s="61" t="s">
        <v>667</v>
      </c>
      <c r="B776" s="24" t="s">
        <v>384</v>
      </c>
      <c r="C776" s="24" t="s">
        <v>731</v>
      </c>
      <c r="D776" s="24"/>
      <c r="E776" s="24"/>
      <c r="F776" s="42">
        <f t="shared" si="115"/>
        <v>5388</v>
      </c>
      <c r="G776" s="42">
        <f t="shared" si="115"/>
        <v>5388</v>
      </c>
    </row>
    <row r="777" spans="1:7" s="32" customFormat="1" x14ac:dyDescent="0.2">
      <c r="A777" s="66" t="s">
        <v>672</v>
      </c>
      <c r="B777" s="24" t="s">
        <v>384</v>
      </c>
      <c r="C777" s="24" t="s">
        <v>731</v>
      </c>
      <c r="D777" s="24" t="s">
        <v>731</v>
      </c>
      <c r="E777" s="24"/>
      <c r="F777" s="42">
        <f t="shared" si="115"/>
        <v>5388</v>
      </c>
      <c r="G777" s="42">
        <f t="shared" si="115"/>
        <v>5388</v>
      </c>
    </row>
    <row r="778" spans="1:7" s="32" customFormat="1" ht="36" x14ac:dyDescent="0.2">
      <c r="A778" s="64" t="s">
        <v>217</v>
      </c>
      <c r="B778" s="30" t="s">
        <v>384</v>
      </c>
      <c r="C778" s="30" t="s">
        <v>731</v>
      </c>
      <c r="D778" s="30" t="s">
        <v>731</v>
      </c>
      <c r="E778" s="30" t="s">
        <v>218</v>
      </c>
      <c r="F778" s="41">
        <f t="shared" si="115"/>
        <v>5388</v>
      </c>
      <c r="G778" s="41">
        <f t="shared" si="115"/>
        <v>5388</v>
      </c>
    </row>
    <row r="779" spans="1:7" s="32" customFormat="1" x14ac:dyDescent="0.2">
      <c r="A779" s="64" t="s">
        <v>219</v>
      </c>
      <c r="B779" s="30" t="s">
        <v>384</v>
      </c>
      <c r="C779" s="30" t="s">
        <v>731</v>
      </c>
      <c r="D779" s="30" t="s">
        <v>731</v>
      </c>
      <c r="E779" s="30" t="s">
        <v>224</v>
      </c>
      <c r="F779" s="41">
        <v>5388</v>
      </c>
      <c r="G779" s="41">
        <v>5388</v>
      </c>
    </row>
    <row r="780" spans="1:7" s="32" customFormat="1" x14ac:dyDescent="0.2">
      <c r="A780" s="61" t="s">
        <v>225</v>
      </c>
      <c r="B780" s="24" t="s">
        <v>383</v>
      </c>
      <c r="C780" s="24"/>
      <c r="D780" s="24"/>
      <c r="E780" s="24"/>
      <c r="F780" s="42">
        <f>F781</f>
        <v>900</v>
      </c>
      <c r="G780" s="42">
        <f>G781</f>
        <v>900</v>
      </c>
    </row>
    <row r="781" spans="1:7" s="32" customFormat="1" x14ac:dyDescent="0.2">
      <c r="A781" s="61" t="s">
        <v>667</v>
      </c>
      <c r="B781" s="24" t="s">
        <v>385</v>
      </c>
      <c r="C781" s="24" t="s">
        <v>731</v>
      </c>
      <c r="D781" s="24"/>
      <c r="E781" s="24"/>
      <c r="F781" s="42">
        <f>F782</f>
        <v>900</v>
      </c>
      <c r="G781" s="42">
        <f>G782</f>
        <v>900</v>
      </c>
    </row>
    <row r="782" spans="1:7" s="32" customFormat="1" x14ac:dyDescent="0.2">
      <c r="A782" s="66" t="s">
        <v>672</v>
      </c>
      <c r="B782" s="30" t="s">
        <v>385</v>
      </c>
      <c r="C782" s="24" t="s">
        <v>731</v>
      </c>
      <c r="D782" s="24" t="s">
        <v>731</v>
      </c>
      <c r="E782" s="24"/>
      <c r="F782" s="42">
        <f>F783+F785</f>
        <v>900</v>
      </c>
      <c r="G782" s="42">
        <f>G783+G785</f>
        <v>900</v>
      </c>
    </row>
    <row r="783" spans="1:7" s="32" customFormat="1" x14ac:dyDescent="0.2">
      <c r="A783" s="64" t="s">
        <v>473</v>
      </c>
      <c r="B783" s="30" t="s">
        <v>385</v>
      </c>
      <c r="C783" s="30" t="s">
        <v>731</v>
      </c>
      <c r="D783" s="30" t="s">
        <v>731</v>
      </c>
      <c r="E783" s="30" t="s">
        <v>226</v>
      </c>
      <c r="F783" s="41">
        <f>F784</f>
        <v>740</v>
      </c>
      <c r="G783" s="41">
        <f>G784</f>
        <v>740</v>
      </c>
    </row>
    <row r="784" spans="1:7" s="32" customFormat="1" x14ac:dyDescent="0.2">
      <c r="A784" s="64" t="s">
        <v>227</v>
      </c>
      <c r="B784" s="30" t="s">
        <v>385</v>
      </c>
      <c r="C784" s="30" t="s">
        <v>731</v>
      </c>
      <c r="D784" s="30" t="s">
        <v>731</v>
      </c>
      <c r="E784" s="30" t="s">
        <v>228</v>
      </c>
      <c r="F784" s="41">
        <v>740</v>
      </c>
      <c r="G784" s="41">
        <v>740</v>
      </c>
    </row>
    <row r="785" spans="1:7" s="32" customFormat="1" x14ac:dyDescent="0.2">
      <c r="A785" s="64" t="s">
        <v>229</v>
      </c>
      <c r="B785" s="30" t="s">
        <v>385</v>
      </c>
      <c r="C785" s="30" t="s">
        <v>731</v>
      </c>
      <c r="D785" s="30" t="s">
        <v>731</v>
      </c>
      <c r="E785" s="30" t="s">
        <v>230</v>
      </c>
      <c r="F785" s="41">
        <f>F786</f>
        <v>160</v>
      </c>
      <c r="G785" s="41">
        <f>G786</f>
        <v>160</v>
      </c>
    </row>
    <row r="786" spans="1:7" s="32" customFormat="1" x14ac:dyDescent="0.2">
      <c r="A786" s="64" t="s">
        <v>106</v>
      </c>
      <c r="B786" s="30" t="s">
        <v>385</v>
      </c>
      <c r="C786" s="30" t="s">
        <v>731</v>
      </c>
      <c r="D786" s="30" t="s">
        <v>731</v>
      </c>
      <c r="E786" s="30" t="s">
        <v>231</v>
      </c>
      <c r="F786" s="41">
        <v>160</v>
      </c>
      <c r="G786" s="41">
        <v>160</v>
      </c>
    </row>
    <row r="787" spans="1:7" s="32" customFormat="1" x14ac:dyDescent="0.2">
      <c r="A787" s="77" t="s">
        <v>476</v>
      </c>
      <c r="B787" s="70"/>
      <c r="C787" s="70"/>
      <c r="D787" s="70"/>
      <c r="E787" s="70"/>
      <c r="F787" s="110">
        <f>F788+F793+F802+F811+F821+F826+F831+F836+F841+F846+F851+F860+F866+F875+F880+F885+F890+F895+F900+F906+F912+F918+F816</f>
        <v>228732.4</v>
      </c>
      <c r="G787" s="110">
        <f>G788+G793+G802+G811+G821+G826+G831+G836+G841+G846+G851+G860+G866+G875+G880+G885+G890+G895+G900+G906+G912+G918+G816</f>
        <v>238743.3</v>
      </c>
    </row>
    <row r="788" spans="1:7" s="32" customFormat="1" ht="13.5" x14ac:dyDescent="0.2">
      <c r="A788" s="165" t="s">
        <v>233</v>
      </c>
      <c r="B788" s="154" t="s">
        <v>383</v>
      </c>
      <c r="C788" s="154"/>
      <c r="D788" s="154"/>
      <c r="E788" s="154"/>
      <c r="F788" s="156">
        <f t="shared" ref="F788:G791" si="116">F789</f>
        <v>3000</v>
      </c>
      <c r="G788" s="156">
        <f t="shared" si="116"/>
        <v>3000</v>
      </c>
    </row>
    <row r="789" spans="1:7" s="32" customFormat="1" x14ac:dyDescent="0.2">
      <c r="A789" s="61" t="s">
        <v>256</v>
      </c>
      <c r="B789" s="24" t="s">
        <v>512</v>
      </c>
      <c r="C789" s="24" t="s">
        <v>214</v>
      </c>
      <c r="D789" s="24"/>
      <c r="E789" s="24"/>
      <c r="F789" s="42">
        <f t="shared" si="116"/>
        <v>3000</v>
      </c>
      <c r="G789" s="42">
        <f t="shared" si="116"/>
        <v>3000</v>
      </c>
    </row>
    <row r="790" spans="1:7" s="32" customFormat="1" x14ac:dyDescent="0.2">
      <c r="A790" s="61" t="s">
        <v>508</v>
      </c>
      <c r="B790" s="24" t="s">
        <v>512</v>
      </c>
      <c r="C790" s="24" t="s">
        <v>214</v>
      </c>
      <c r="D790" s="24" t="s">
        <v>232</v>
      </c>
      <c r="E790" s="30"/>
      <c r="F790" s="42">
        <f t="shared" si="116"/>
        <v>3000</v>
      </c>
      <c r="G790" s="42">
        <f t="shared" si="116"/>
        <v>3000</v>
      </c>
    </row>
    <row r="791" spans="1:7" s="32" customFormat="1" x14ac:dyDescent="0.2">
      <c r="A791" s="64" t="s">
        <v>229</v>
      </c>
      <c r="B791" s="30" t="s">
        <v>512</v>
      </c>
      <c r="C791" s="30" t="s">
        <v>214</v>
      </c>
      <c r="D791" s="30" t="s">
        <v>232</v>
      </c>
      <c r="E791" s="30" t="s">
        <v>230</v>
      </c>
      <c r="F791" s="41">
        <f t="shared" si="116"/>
        <v>3000</v>
      </c>
      <c r="G791" s="41">
        <f t="shared" si="116"/>
        <v>3000</v>
      </c>
    </row>
    <row r="792" spans="1:7" s="32" customFormat="1" x14ac:dyDescent="0.2">
      <c r="A792" s="64" t="s">
        <v>234</v>
      </c>
      <c r="B792" s="30" t="s">
        <v>512</v>
      </c>
      <c r="C792" s="30" t="s">
        <v>214</v>
      </c>
      <c r="D792" s="30" t="s">
        <v>232</v>
      </c>
      <c r="E792" s="30" t="s">
        <v>736</v>
      </c>
      <c r="F792" s="41">
        <v>3000</v>
      </c>
      <c r="G792" s="41">
        <v>3000</v>
      </c>
    </row>
    <row r="793" spans="1:7" s="32" customFormat="1" ht="27" x14ac:dyDescent="0.2">
      <c r="A793" s="165" t="s">
        <v>173</v>
      </c>
      <c r="B793" s="154" t="s">
        <v>383</v>
      </c>
      <c r="C793" s="154"/>
      <c r="D793" s="154"/>
      <c r="E793" s="154"/>
      <c r="F793" s="156">
        <f>F794</f>
        <v>41674</v>
      </c>
      <c r="G793" s="156">
        <f>G794</f>
        <v>41674</v>
      </c>
    </row>
    <row r="794" spans="1:7" s="32" customFormat="1" x14ac:dyDescent="0.2">
      <c r="A794" s="61" t="s">
        <v>256</v>
      </c>
      <c r="B794" s="24" t="s">
        <v>513</v>
      </c>
      <c r="C794" s="36" t="s">
        <v>214</v>
      </c>
      <c r="D794" s="36"/>
      <c r="E794" s="36"/>
      <c r="F794" s="111">
        <f>F795</f>
        <v>41674</v>
      </c>
      <c r="G794" s="111">
        <f>G795</f>
        <v>41674</v>
      </c>
    </row>
    <row r="795" spans="1:7" s="32" customFormat="1" x14ac:dyDescent="0.2">
      <c r="A795" s="61" t="s">
        <v>726</v>
      </c>
      <c r="B795" s="24" t="s">
        <v>513</v>
      </c>
      <c r="C795" s="36" t="s">
        <v>214</v>
      </c>
      <c r="D795" s="36" t="s">
        <v>235</v>
      </c>
      <c r="E795" s="36"/>
      <c r="F795" s="111">
        <f>F796+F798+F800</f>
        <v>41674</v>
      </c>
      <c r="G795" s="111">
        <f>G796+G798+G800</f>
        <v>41674</v>
      </c>
    </row>
    <row r="796" spans="1:7" s="32" customFormat="1" ht="36" x14ac:dyDescent="0.2">
      <c r="A796" s="64" t="s">
        <v>217</v>
      </c>
      <c r="B796" s="30" t="s">
        <v>513</v>
      </c>
      <c r="C796" s="30" t="s">
        <v>214</v>
      </c>
      <c r="D796" s="30" t="s">
        <v>235</v>
      </c>
      <c r="E796" s="30" t="s">
        <v>218</v>
      </c>
      <c r="F796" s="41">
        <f>F797</f>
        <v>35644</v>
      </c>
      <c r="G796" s="41">
        <f>G797</f>
        <v>35644</v>
      </c>
    </row>
    <row r="797" spans="1:7" s="32" customFormat="1" x14ac:dyDescent="0.2">
      <c r="A797" s="64" t="s">
        <v>820</v>
      </c>
      <c r="B797" s="30" t="s">
        <v>513</v>
      </c>
      <c r="C797" s="30" t="s">
        <v>214</v>
      </c>
      <c r="D797" s="30" t="s">
        <v>235</v>
      </c>
      <c r="E797" s="30" t="s">
        <v>821</v>
      </c>
      <c r="F797" s="41">
        <v>35644</v>
      </c>
      <c r="G797" s="41">
        <v>35644</v>
      </c>
    </row>
    <row r="798" spans="1:7" s="32" customFormat="1" x14ac:dyDescent="0.2">
      <c r="A798" s="64" t="s">
        <v>473</v>
      </c>
      <c r="B798" s="30" t="s">
        <v>513</v>
      </c>
      <c r="C798" s="30" t="s">
        <v>214</v>
      </c>
      <c r="D798" s="30" t="s">
        <v>235</v>
      </c>
      <c r="E798" s="30" t="s">
        <v>226</v>
      </c>
      <c r="F798" s="41">
        <f>F799</f>
        <v>5780</v>
      </c>
      <c r="G798" s="41">
        <f>G799</f>
        <v>5780</v>
      </c>
    </row>
    <row r="799" spans="1:7" s="32" customFormat="1" x14ac:dyDescent="0.2">
      <c r="A799" s="64" t="s">
        <v>227</v>
      </c>
      <c r="B799" s="30" t="s">
        <v>513</v>
      </c>
      <c r="C799" s="30" t="s">
        <v>214</v>
      </c>
      <c r="D799" s="30" t="s">
        <v>235</v>
      </c>
      <c r="E799" s="30" t="s">
        <v>228</v>
      </c>
      <c r="F799" s="41">
        <v>5780</v>
      </c>
      <c r="G799" s="41">
        <v>5780</v>
      </c>
    </row>
    <row r="800" spans="1:7" s="32" customFormat="1" x14ac:dyDescent="0.2">
      <c r="A800" s="64" t="s">
        <v>229</v>
      </c>
      <c r="B800" s="30" t="s">
        <v>513</v>
      </c>
      <c r="C800" s="30" t="s">
        <v>214</v>
      </c>
      <c r="D800" s="30" t="s">
        <v>235</v>
      </c>
      <c r="E800" s="30" t="s">
        <v>230</v>
      </c>
      <c r="F800" s="41">
        <f>F801</f>
        <v>250</v>
      </c>
      <c r="G800" s="41">
        <f>G801</f>
        <v>250</v>
      </c>
    </row>
    <row r="801" spans="1:7" s="32" customFormat="1" x14ac:dyDescent="0.2">
      <c r="A801" s="64" t="s">
        <v>106</v>
      </c>
      <c r="B801" s="30" t="s">
        <v>513</v>
      </c>
      <c r="C801" s="30" t="s">
        <v>214</v>
      </c>
      <c r="D801" s="30" t="s">
        <v>235</v>
      </c>
      <c r="E801" s="30" t="s">
        <v>231</v>
      </c>
      <c r="F801" s="41">
        <v>250</v>
      </c>
      <c r="G801" s="41">
        <v>250</v>
      </c>
    </row>
    <row r="802" spans="1:7" s="32" customFormat="1" ht="13.5" x14ac:dyDescent="0.2">
      <c r="A802" s="165" t="s">
        <v>813</v>
      </c>
      <c r="B802" s="154" t="s">
        <v>383</v>
      </c>
      <c r="C802" s="154"/>
      <c r="D802" s="154"/>
      <c r="E802" s="154"/>
      <c r="F802" s="156">
        <f>F803</f>
        <v>6180</v>
      </c>
      <c r="G802" s="156">
        <f>G803</f>
        <v>6180</v>
      </c>
    </row>
    <row r="803" spans="1:7" s="32" customFormat="1" x14ac:dyDescent="0.2">
      <c r="A803" s="61" t="s">
        <v>256</v>
      </c>
      <c r="B803" s="24" t="s">
        <v>814</v>
      </c>
      <c r="C803" s="36" t="s">
        <v>214</v>
      </c>
      <c r="D803" s="36"/>
      <c r="E803" s="36"/>
      <c r="F803" s="111">
        <f>F804</f>
        <v>6180</v>
      </c>
      <c r="G803" s="111">
        <f>G804</f>
        <v>6180</v>
      </c>
    </row>
    <row r="804" spans="1:7" s="32" customFormat="1" x14ac:dyDescent="0.2">
      <c r="A804" s="61" t="s">
        <v>726</v>
      </c>
      <c r="B804" s="24" t="s">
        <v>814</v>
      </c>
      <c r="C804" s="36" t="s">
        <v>214</v>
      </c>
      <c r="D804" s="36" t="s">
        <v>235</v>
      </c>
      <c r="E804" s="36"/>
      <c r="F804" s="111">
        <f>F805+F807+F809</f>
        <v>6180</v>
      </c>
      <c r="G804" s="111">
        <f>G805+G807+G809</f>
        <v>6180</v>
      </c>
    </row>
    <row r="805" spans="1:7" s="32" customFormat="1" ht="36" x14ac:dyDescent="0.2">
      <c r="A805" s="64" t="s">
        <v>217</v>
      </c>
      <c r="B805" s="30" t="s">
        <v>814</v>
      </c>
      <c r="C805" s="30" t="s">
        <v>214</v>
      </c>
      <c r="D805" s="30" t="s">
        <v>235</v>
      </c>
      <c r="E805" s="30" t="s">
        <v>218</v>
      </c>
      <c r="F805" s="41">
        <f>F806</f>
        <v>5995</v>
      </c>
      <c r="G805" s="41">
        <f>G806</f>
        <v>5995</v>
      </c>
    </row>
    <row r="806" spans="1:7" s="32" customFormat="1" x14ac:dyDescent="0.2">
      <c r="A806" s="64" t="s">
        <v>820</v>
      </c>
      <c r="B806" s="30" t="s">
        <v>814</v>
      </c>
      <c r="C806" s="30" t="s">
        <v>214</v>
      </c>
      <c r="D806" s="30" t="s">
        <v>235</v>
      </c>
      <c r="E806" s="30" t="s">
        <v>821</v>
      </c>
      <c r="F806" s="41">
        <v>5995</v>
      </c>
      <c r="G806" s="41">
        <v>5995</v>
      </c>
    </row>
    <row r="807" spans="1:7" s="32" customFormat="1" x14ac:dyDescent="0.2">
      <c r="A807" s="64" t="s">
        <v>473</v>
      </c>
      <c r="B807" s="30" t="s">
        <v>814</v>
      </c>
      <c r="C807" s="30" t="s">
        <v>214</v>
      </c>
      <c r="D807" s="30" t="s">
        <v>235</v>
      </c>
      <c r="E807" s="30" t="s">
        <v>226</v>
      </c>
      <c r="F807" s="41">
        <f>F808</f>
        <v>170</v>
      </c>
      <c r="G807" s="41">
        <f>G808</f>
        <v>170</v>
      </c>
    </row>
    <row r="808" spans="1:7" s="32" customFormat="1" x14ac:dyDescent="0.2">
      <c r="A808" s="64" t="s">
        <v>227</v>
      </c>
      <c r="B808" s="30" t="s">
        <v>814</v>
      </c>
      <c r="C808" s="30" t="s">
        <v>214</v>
      </c>
      <c r="D808" s="30" t="s">
        <v>235</v>
      </c>
      <c r="E808" s="30" t="s">
        <v>228</v>
      </c>
      <c r="F808" s="41">
        <v>170</v>
      </c>
      <c r="G808" s="41">
        <v>170</v>
      </c>
    </row>
    <row r="809" spans="1:7" s="32" customFormat="1" x14ac:dyDescent="0.2">
      <c r="A809" s="64" t="s">
        <v>229</v>
      </c>
      <c r="B809" s="30" t="s">
        <v>814</v>
      </c>
      <c r="C809" s="30" t="s">
        <v>214</v>
      </c>
      <c r="D809" s="30" t="s">
        <v>235</v>
      </c>
      <c r="E809" s="30" t="s">
        <v>230</v>
      </c>
      <c r="F809" s="41">
        <f>F810</f>
        <v>15</v>
      </c>
      <c r="G809" s="41">
        <f>G810</f>
        <v>15</v>
      </c>
    </row>
    <row r="810" spans="1:7" s="32" customFormat="1" x14ac:dyDescent="0.2">
      <c r="A810" s="64" t="s">
        <v>106</v>
      </c>
      <c r="B810" s="30" t="s">
        <v>814</v>
      </c>
      <c r="C810" s="30" t="s">
        <v>214</v>
      </c>
      <c r="D810" s="30" t="s">
        <v>235</v>
      </c>
      <c r="E810" s="30" t="s">
        <v>231</v>
      </c>
      <c r="F810" s="41">
        <v>15</v>
      </c>
      <c r="G810" s="41">
        <v>15</v>
      </c>
    </row>
    <row r="811" spans="1:7" s="32" customFormat="1" ht="27" x14ac:dyDescent="0.2">
      <c r="A811" s="152" t="s">
        <v>278</v>
      </c>
      <c r="B811" s="154" t="s">
        <v>383</v>
      </c>
      <c r="C811" s="154"/>
      <c r="D811" s="154"/>
      <c r="E811" s="154"/>
      <c r="F811" s="156">
        <f t="shared" ref="F811:G814" si="117">F812</f>
        <v>1600</v>
      </c>
      <c r="G811" s="156">
        <f t="shared" si="117"/>
        <v>1600</v>
      </c>
    </row>
    <row r="812" spans="1:7" s="32" customFormat="1" x14ac:dyDescent="0.2">
      <c r="A812" s="61" t="s">
        <v>256</v>
      </c>
      <c r="B812" s="24" t="s">
        <v>523</v>
      </c>
      <c r="C812" s="36" t="s">
        <v>214</v>
      </c>
      <c r="D812" s="36"/>
      <c r="E812" s="24"/>
      <c r="F812" s="42">
        <f t="shared" si="117"/>
        <v>1600</v>
      </c>
      <c r="G812" s="42">
        <f t="shared" si="117"/>
        <v>1600</v>
      </c>
    </row>
    <row r="813" spans="1:7" s="32" customFormat="1" x14ac:dyDescent="0.2">
      <c r="A813" s="61" t="s">
        <v>726</v>
      </c>
      <c r="B813" s="24" t="s">
        <v>523</v>
      </c>
      <c r="C813" s="36" t="s">
        <v>214</v>
      </c>
      <c r="D813" s="36" t="s">
        <v>235</v>
      </c>
      <c r="E813" s="24"/>
      <c r="F813" s="42">
        <f t="shared" si="117"/>
        <v>1600</v>
      </c>
      <c r="G813" s="42">
        <f t="shared" si="117"/>
        <v>1600</v>
      </c>
    </row>
    <row r="814" spans="1:7" s="32" customFormat="1" ht="24" x14ac:dyDescent="0.2">
      <c r="A814" s="84" t="s">
        <v>246</v>
      </c>
      <c r="B814" s="30" t="s">
        <v>523</v>
      </c>
      <c r="C814" s="30" t="s">
        <v>214</v>
      </c>
      <c r="D814" s="30" t="s">
        <v>235</v>
      </c>
      <c r="E814" s="30" t="s">
        <v>702</v>
      </c>
      <c r="F814" s="41">
        <f t="shared" si="117"/>
        <v>1600</v>
      </c>
      <c r="G814" s="41">
        <f t="shared" si="117"/>
        <v>1600</v>
      </c>
    </row>
    <row r="815" spans="1:7" s="32" customFormat="1" x14ac:dyDescent="0.2">
      <c r="A815" s="84" t="s">
        <v>247</v>
      </c>
      <c r="B815" s="30" t="s">
        <v>523</v>
      </c>
      <c r="C815" s="30" t="s">
        <v>214</v>
      </c>
      <c r="D815" s="30" t="s">
        <v>235</v>
      </c>
      <c r="E815" s="30" t="s">
        <v>724</v>
      </c>
      <c r="F815" s="41">
        <v>1600</v>
      </c>
      <c r="G815" s="41">
        <v>1600</v>
      </c>
    </row>
    <row r="816" spans="1:7" s="32" customFormat="1" ht="13.5" x14ac:dyDescent="0.2">
      <c r="A816" s="165" t="s">
        <v>578</v>
      </c>
      <c r="B816" s="154" t="s">
        <v>383</v>
      </c>
      <c r="C816" s="154"/>
      <c r="D816" s="154"/>
      <c r="E816" s="154"/>
      <c r="F816" s="156">
        <f t="shared" ref="F816:G819" si="118">F817</f>
        <v>800</v>
      </c>
      <c r="G816" s="156">
        <f t="shared" si="118"/>
        <v>800</v>
      </c>
    </row>
    <row r="817" spans="1:7" s="32" customFormat="1" x14ac:dyDescent="0.2">
      <c r="A817" s="61" t="s">
        <v>256</v>
      </c>
      <c r="B817" s="24" t="s">
        <v>579</v>
      </c>
      <c r="C817" s="24" t="s">
        <v>214</v>
      </c>
      <c r="D817" s="30"/>
      <c r="E817" s="30"/>
      <c r="F817" s="42">
        <f t="shared" si="118"/>
        <v>800</v>
      </c>
      <c r="G817" s="42">
        <f t="shared" si="118"/>
        <v>800</v>
      </c>
    </row>
    <row r="818" spans="1:7" s="32" customFormat="1" x14ac:dyDescent="0.2">
      <c r="A818" s="61" t="s">
        <v>509</v>
      </c>
      <c r="B818" s="30" t="s">
        <v>579</v>
      </c>
      <c r="C818" s="24" t="s">
        <v>214</v>
      </c>
      <c r="D818" s="24" t="s">
        <v>235</v>
      </c>
      <c r="E818" s="24"/>
      <c r="F818" s="42">
        <f t="shared" si="118"/>
        <v>800</v>
      </c>
      <c r="G818" s="42">
        <f t="shared" si="118"/>
        <v>800</v>
      </c>
    </row>
    <row r="819" spans="1:7" s="32" customFormat="1" ht="36" x14ac:dyDescent="0.2">
      <c r="A819" s="84" t="s">
        <v>217</v>
      </c>
      <c r="B819" s="30" t="s">
        <v>579</v>
      </c>
      <c r="C819" s="30" t="s">
        <v>214</v>
      </c>
      <c r="D819" s="30" t="s">
        <v>235</v>
      </c>
      <c r="E819" s="30" t="s">
        <v>218</v>
      </c>
      <c r="F819" s="41">
        <f t="shared" si="118"/>
        <v>800</v>
      </c>
      <c r="G819" s="41">
        <f t="shared" si="118"/>
        <v>800</v>
      </c>
    </row>
    <row r="820" spans="1:7" s="32" customFormat="1" x14ac:dyDescent="0.2">
      <c r="A820" s="84" t="s">
        <v>219</v>
      </c>
      <c r="B820" s="30" t="s">
        <v>579</v>
      </c>
      <c r="C820" s="30" t="s">
        <v>214</v>
      </c>
      <c r="D820" s="30" t="s">
        <v>235</v>
      </c>
      <c r="E820" s="30" t="s">
        <v>224</v>
      </c>
      <c r="F820" s="41">
        <v>800</v>
      </c>
      <c r="G820" s="118">
        <v>800</v>
      </c>
    </row>
    <row r="821" spans="1:7" s="32" customFormat="1" ht="27" x14ac:dyDescent="0.2">
      <c r="A821" s="152" t="s">
        <v>654</v>
      </c>
      <c r="B821" s="154" t="s">
        <v>383</v>
      </c>
      <c r="C821" s="154"/>
      <c r="D821" s="154"/>
      <c r="E821" s="154"/>
      <c r="F821" s="156">
        <f t="shared" ref="F821:G824" si="119">F822</f>
        <v>1000</v>
      </c>
      <c r="G821" s="156">
        <f t="shared" si="119"/>
        <v>1000</v>
      </c>
    </row>
    <row r="822" spans="1:7" s="32" customFormat="1" x14ac:dyDescent="0.2">
      <c r="A822" s="61" t="s">
        <v>511</v>
      </c>
      <c r="B822" s="24" t="s">
        <v>195</v>
      </c>
      <c r="C822" s="24" t="s">
        <v>817</v>
      </c>
      <c r="D822" s="24"/>
      <c r="E822" s="24"/>
      <c r="F822" s="42">
        <f t="shared" si="119"/>
        <v>1000</v>
      </c>
      <c r="G822" s="42">
        <f t="shared" si="119"/>
        <v>1000</v>
      </c>
    </row>
    <row r="823" spans="1:7" s="32" customFormat="1" ht="24" x14ac:dyDescent="0.2">
      <c r="A823" s="80" t="s">
        <v>277</v>
      </c>
      <c r="B823" s="24" t="s">
        <v>195</v>
      </c>
      <c r="C823" s="24" t="s">
        <v>817</v>
      </c>
      <c r="D823" s="24" t="s">
        <v>818</v>
      </c>
      <c r="E823" s="24"/>
      <c r="F823" s="42">
        <f t="shared" si="119"/>
        <v>1000</v>
      </c>
      <c r="G823" s="42">
        <f t="shared" si="119"/>
        <v>1000</v>
      </c>
    </row>
    <row r="824" spans="1:7" s="32" customFormat="1" x14ac:dyDescent="0.2">
      <c r="A824" s="84" t="s">
        <v>473</v>
      </c>
      <c r="B824" s="30" t="s">
        <v>195</v>
      </c>
      <c r="C824" s="30" t="s">
        <v>817</v>
      </c>
      <c r="D824" s="30" t="s">
        <v>818</v>
      </c>
      <c r="E824" s="30" t="s">
        <v>226</v>
      </c>
      <c r="F824" s="41">
        <f t="shared" si="119"/>
        <v>1000</v>
      </c>
      <c r="G824" s="41">
        <f t="shared" si="119"/>
        <v>1000</v>
      </c>
    </row>
    <row r="825" spans="1:7" s="32" customFormat="1" x14ac:dyDescent="0.2">
      <c r="A825" s="84" t="s">
        <v>227</v>
      </c>
      <c r="B825" s="30" t="s">
        <v>195</v>
      </c>
      <c r="C825" s="30" t="s">
        <v>817</v>
      </c>
      <c r="D825" s="30" t="s">
        <v>818</v>
      </c>
      <c r="E825" s="30" t="s">
        <v>228</v>
      </c>
      <c r="F825" s="41">
        <v>1000</v>
      </c>
      <c r="G825" s="41">
        <v>1000</v>
      </c>
    </row>
    <row r="826" spans="1:7" s="32" customFormat="1" ht="27" x14ac:dyDescent="0.2">
      <c r="A826" s="152" t="s">
        <v>33</v>
      </c>
      <c r="B826" s="154" t="s">
        <v>383</v>
      </c>
      <c r="C826" s="154"/>
      <c r="D826" s="154"/>
      <c r="E826" s="154"/>
      <c r="F826" s="156">
        <f t="shared" ref="F826:G829" si="120">F827</f>
        <v>13200</v>
      </c>
      <c r="G826" s="156">
        <f t="shared" si="120"/>
        <v>13200</v>
      </c>
    </row>
    <row r="827" spans="1:7" s="32" customFormat="1" ht="13.5" x14ac:dyDescent="0.2">
      <c r="A827" s="61" t="s">
        <v>655</v>
      </c>
      <c r="B827" s="24" t="s">
        <v>37</v>
      </c>
      <c r="C827" s="24" t="s">
        <v>216</v>
      </c>
      <c r="D827" s="53"/>
      <c r="E827" s="24"/>
      <c r="F827" s="42">
        <f t="shared" si="120"/>
        <v>13200</v>
      </c>
      <c r="G827" s="42">
        <f t="shared" si="120"/>
        <v>13200</v>
      </c>
    </row>
    <row r="828" spans="1:7" s="32" customFormat="1" x14ac:dyDescent="0.2">
      <c r="A828" s="61" t="s">
        <v>698</v>
      </c>
      <c r="B828" s="24" t="s">
        <v>37</v>
      </c>
      <c r="C828" s="24" t="s">
        <v>216</v>
      </c>
      <c r="D828" s="24" t="s">
        <v>823</v>
      </c>
      <c r="E828" s="24"/>
      <c r="F828" s="42">
        <f t="shared" si="120"/>
        <v>13200</v>
      </c>
      <c r="G828" s="42">
        <f t="shared" si="120"/>
        <v>13200</v>
      </c>
    </row>
    <row r="829" spans="1:7" s="32" customFormat="1" x14ac:dyDescent="0.2">
      <c r="A829" s="84" t="s">
        <v>473</v>
      </c>
      <c r="B829" s="30" t="s">
        <v>37</v>
      </c>
      <c r="C829" s="30" t="s">
        <v>216</v>
      </c>
      <c r="D829" s="30" t="s">
        <v>823</v>
      </c>
      <c r="E829" s="31">
        <v>200</v>
      </c>
      <c r="F829" s="41">
        <f t="shared" si="120"/>
        <v>13200</v>
      </c>
      <c r="G829" s="41">
        <f t="shared" si="120"/>
        <v>13200</v>
      </c>
    </row>
    <row r="830" spans="1:7" s="32" customFormat="1" x14ac:dyDescent="0.2">
      <c r="A830" s="84" t="s">
        <v>227</v>
      </c>
      <c r="B830" s="30" t="s">
        <v>37</v>
      </c>
      <c r="C830" s="30" t="s">
        <v>216</v>
      </c>
      <c r="D830" s="30" t="s">
        <v>823</v>
      </c>
      <c r="E830" s="30" t="s">
        <v>228</v>
      </c>
      <c r="F830" s="41">
        <v>13200</v>
      </c>
      <c r="G830" s="41">
        <v>13200</v>
      </c>
    </row>
    <row r="831" spans="1:7" s="32" customFormat="1" ht="13.5" x14ac:dyDescent="0.2">
      <c r="A831" s="152" t="s">
        <v>34</v>
      </c>
      <c r="B831" s="154" t="s">
        <v>383</v>
      </c>
      <c r="C831" s="154"/>
      <c r="D831" s="154"/>
      <c r="E831" s="154"/>
      <c r="F831" s="156">
        <f t="shared" ref="F831:G834" si="121">F832</f>
        <v>1500</v>
      </c>
      <c r="G831" s="156">
        <f t="shared" si="121"/>
        <v>1500</v>
      </c>
    </row>
    <row r="832" spans="1:7" s="32" customFormat="1" ht="13.5" x14ac:dyDescent="0.2">
      <c r="A832" s="61" t="s">
        <v>655</v>
      </c>
      <c r="B832" s="24" t="s">
        <v>38</v>
      </c>
      <c r="C832" s="24" t="s">
        <v>216</v>
      </c>
      <c r="D832" s="53"/>
      <c r="E832" s="24"/>
      <c r="F832" s="42">
        <f t="shared" si="121"/>
        <v>1500</v>
      </c>
      <c r="G832" s="42">
        <f t="shared" si="121"/>
        <v>1500</v>
      </c>
    </row>
    <row r="833" spans="1:7" s="32" customFormat="1" x14ac:dyDescent="0.2">
      <c r="A833" s="61" t="s">
        <v>698</v>
      </c>
      <c r="B833" s="24" t="s">
        <v>38</v>
      </c>
      <c r="C833" s="24" t="s">
        <v>216</v>
      </c>
      <c r="D833" s="24" t="s">
        <v>823</v>
      </c>
      <c r="E833" s="24"/>
      <c r="F833" s="42">
        <f t="shared" si="121"/>
        <v>1500</v>
      </c>
      <c r="G833" s="42">
        <f t="shared" si="121"/>
        <v>1500</v>
      </c>
    </row>
    <row r="834" spans="1:7" s="32" customFormat="1" x14ac:dyDescent="0.2">
      <c r="A834" s="84" t="s">
        <v>473</v>
      </c>
      <c r="B834" s="30" t="s">
        <v>38</v>
      </c>
      <c r="C834" s="30" t="s">
        <v>216</v>
      </c>
      <c r="D834" s="30" t="s">
        <v>823</v>
      </c>
      <c r="E834" s="31">
        <v>200</v>
      </c>
      <c r="F834" s="41">
        <f t="shared" si="121"/>
        <v>1500</v>
      </c>
      <c r="G834" s="41">
        <f t="shared" si="121"/>
        <v>1500</v>
      </c>
    </row>
    <row r="835" spans="1:7" s="32" customFormat="1" x14ac:dyDescent="0.2">
      <c r="A835" s="84" t="s">
        <v>227</v>
      </c>
      <c r="B835" s="30" t="s">
        <v>38</v>
      </c>
      <c r="C835" s="30" t="s">
        <v>216</v>
      </c>
      <c r="D835" s="30" t="s">
        <v>823</v>
      </c>
      <c r="E835" s="30" t="s">
        <v>228</v>
      </c>
      <c r="F835" s="41">
        <v>1500</v>
      </c>
      <c r="G835" s="41">
        <v>1500</v>
      </c>
    </row>
    <row r="836" spans="1:7" s="32" customFormat="1" ht="27" x14ac:dyDescent="0.2">
      <c r="A836" s="152" t="s">
        <v>35</v>
      </c>
      <c r="B836" s="154" t="s">
        <v>383</v>
      </c>
      <c r="C836" s="154"/>
      <c r="D836" s="154"/>
      <c r="E836" s="154"/>
      <c r="F836" s="156">
        <f t="shared" ref="F836:G839" si="122">F837</f>
        <v>4000</v>
      </c>
      <c r="G836" s="156">
        <f t="shared" si="122"/>
        <v>4000</v>
      </c>
    </row>
    <row r="837" spans="1:7" s="32" customFormat="1" ht="13.5" x14ac:dyDescent="0.2">
      <c r="A837" s="61" t="s">
        <v>655</v>
      </c>
      <c r="B837" s="24" t="s">
        <v>39</v>
      </c>
      <c r="C837" s="24" t="s">
        <v>216</v>
      </c>
      <c r="D837" s="53"/>
      <c r="E837" s="24"/>
      <c r="F837" s="42">
        <f t="shared" si="122"/>
        <v>4000</v>
      </c>
      <c r="G837" s="42">
        <f t="shared" si="122"/>
        <v>4000</v>
      </c>
    </row>
    <row r="838" spans="1:7" s="32" customFormat="1" x14ac:dyDescent="0.2">
      <c r="A838" s="61" t="s">
        <v>698</v>
      </c>
      <c r="B838" s="24" t="s">
        <v>39</v>
      </c>
      <c r="C838" s="24" t="s">
        <v>216</v>
      </c>
      <c r="D838" s="24" t="s">
        <v>823</v>
      </c>
      <c r="E838" s="24"/>
      <c r="F838" s="42">
        <f t="shared" si="122"/>
        <v>4000</v>
      </c>
      <c r="G838" s="42">
        <f t="shared" si="122"/>
        <v>4000</v>
      </c>
    </row>
    <row r="839" spans="1:7" s="32" customFormat="1" x14ac:dyDescent="0.2">
      <c r="A839" s="84" t="s">
        <v>473</v>
      </c>
      <c r="B839" s="30" t="s">
        <v>39</v>
      </c>
      <c r="C839" s="30" t="s">
        <v>216</v>
      </c>
      <c r="D839" s="30" t="s">
        <v>823</v>
      </c>
      <c r="E839" s="31">
        <v>200</v>
      </c>
      <c r="F839" s="41">
        <f t="shared" si="122"/>
        <v>4000</v>
      </c>
      <c r="G839" s="41">
        <f t="shared" si="122"/>
        <v>4000</v>
      </c>
    </row>
    <row r="840" spans="1:7" s="32" customFormat="1" x14ac:dyDescent="0.2">
      <c r="A840" s="84" t="s">
        <v>227</v>
      </c>
      <c r="B840" s="30" t="s">
        <v>39</v>
      </c>
      <c r="C840" s="30" t="s">
        <v>216</v>
      </c>
      <c r="D840" s="30" t="s">
        <v>823</v>
      </c>
      <c r="E840" s="30" t="s">
        <v>228</v>
      </c>
      <c r="F840" s="41">
        <v>4000</v>
      </c>
      <c r="G840" s="41">
        <v>4000</v>
      </c>
    </row>
    <row r="841" spans="1:7" s="32" customFormat="1" ht="27" x14ac:dyDescent="0.2">
      <c r="A841" s="152" t="s">
        <v>36</v>
      </c>
      <c r="B841" s="154" t="s">
        <v>383</v>
      </c>
      <c r="C841" s="154"/>
      <c r="D841" s="154"/>
      <c r="E841" s="154"/>
      <c r="F841" s="156">
        <f t="shared" ref="F841:G844" si="123">F842</f>
        <v>300</v>
      </c>
      <c r="G841" s="156">
        <f t="shared" si="123"/>
        <v>300</v>
      </c>
    </row>
    <row r="842" spans="1:7" s="32" customFormat="1" ht="13.5" x14ac:dyDescent="0.2">
      <c r="A842" s="61" t="s">
        <v>655</v>
      </c>
      <c r="B842" s="24" t="s">
        <v>544</v>
      </c>
      <c r="C842" s="24" t="s">
        <v>216</v>
      </c>
      <c r="D842" s="53"/>
      <c r="E842" s="24"/>
      <c r="F842" s="42">
        <f t="shared" si="123"/>
        <v>300</v>
      </c>
      <c r="G842" s="42">
        <f t="shared" si="123"/>
        <v>300</v>
      </c>
    </row>
    <row r="843" spans="1:7" s="32" customFormat="1" x14ac:dyDescent="0.2">
      <c r="A843" s="61" t="s">
        <v>698</v>
      </c>
      <c r="B843" s="24" t="s">
        <v>544</v>
      </c>
      <c r="C843" s="24" t="s">
        <v>216</v>
      </c>
      <c r="D843" s="24" t="s">
        <v>823</v>
      </c>
      <c r="E843" s="24"/>
      <c r="F843" s="42">
        <f t="shared" si="123"/>
        <v>300</v>
      </c>
      <c r="G843" s="42">
        <f t="shared" si="123"/>
        <v>300</v>
      </c>
    </row>
    <row r="844" spans="1:7" s="32" customFormat="1" x14ac:dyDescent="0.2">
      <c r="A844" s="84" t="s">
        <v>473</v>
      </c>
      <c r="B844" s="30" t="s">
        <v>544</v>
      </c>
      <c r="C844" s="30" t="s">
        <v>216</v>
      </c>
      <c r="D844" s="30" t="s">
        <v>823</v>
      </c>
      <c r="E844" s="31">
        <v>200</v>
      </c>
      <c r="F844" s="41">
        <f t="shared" si="123"/>
        <v>300</v>
      </c>
      <c r="G844" s="41">
        <f t="shared" si="123"/>
        <v>300</v>
      </c>
    </row>
    <row r="845" spans="1:7" s="32" customFormat="1" x14ac:dyDescent="0.2">
      <c r="A845" s="84" t="s">
        <v>227</v>
      </c>
      <c r="B845" s="30" t="s">
        <v>544</v>
      </c>
      <c r="C845" s="30" t="s">
        <v>216</v>
      </c>
      <c r="D845" s="30" t="s">
        <v>823</v>
      </c>
      <c r="E845" s="30" t="s">
        <v>228</v>
      </c>
      <c r="F845" s="41">
        <v>300</v>
      </c>
      <c r="G845" s="41">
        <v>300</v>
      </c>
    </row>
    <row r="846" spans="1:7" s="32" customFormat="1" ht="27" x14ac:dyDescent="0.2">
      <c r="A846" s="165" t="s">
        <v>694</v>
      </c>
      <c r="B846" s="154" t="s">
        <v>383</v>
      </c>
      <c r="C846" s="154"/>
      <c r="D846" s="154"/>
      <c r="E846" s="154"/>
      <c r="F846" s="156">
        <f t="shared" ref="F846:G849" si="124">F847</f>
        <v>15500</v>
      </c>
      <c r="G846" s="156">
        <f t="shared" si="124"/>
        <v>15500</v>
      </c>
    </row>
    <row r="847" spans="1:7" s="32" customFormat="1" x14ac:dyDescent="0.2">
      <c r="A847" s="61" t="s">
        <v>700</v>
      </c>
      <c r="B847" s="24" t="s">
        <v>545</v>
      </c>
      <c r="C847" s="24" t="s">
        <v>107</v>
      </c>
      <c r="D847" s="24"/>
      <c r="E847" s="24"/>
      <c r="F847" s="42">
        <f t="shared" si="124"/>
        <v>15500</v>
      </c>
      <c r="G847" s="42">
        <f t="shared" si="124"/>
        <v>15500</v>
      </c>
    </row>
    <row r="848" spans="1:7" s="32" customFormat="1" x14ac:dyDescent="0.2">
      <c r="A848" s="61" t="s">
        <v>681</v>
      </c>
      <c r="B848" s="24" t="s">
        <v>545</v>
      </c>
      <c r="C848" s="24" t="s">
        <v>107</v>
      </c>
      <c r="D848" s="24" t="s">
        <v>214</v>
      </c>
      <c r="E848" s="24"/>
      <c r="F848" s="42">
        <f t="shared" si="124"/>
        <v>15500</v>
      </c>
      <c r="G848" s="42">
        <f t="shared" si="124"/>
        <v>15500</v>
      </c>
    </row>
    <row r="849" spans="1:7" s="32" customFormat="1" x14ac:dyDescent="0.2">
      <c r="A849" s="64" t="s">
        <v>237</v>
      </c>
      <c r="B849" s="30" t="s">
        <v>545</v>
      </c>
      <c r="C849" s="30" t="s">
        <v>107</v>
      </c>
      <c r="D849" s="30" t="s">
        <v>214</v>
      </c>
      <c r="E849" s="30" t="s">
        <v>236</v>
      </c>
      <c r="F849" s="41">
        <f t="shared" si="124"/>
        <v>15500</v>
      </c>
      <c r="G849" s="41">
        <f t="shared" si="124"/>
        <v>15500</v>
      </c>
    </row>
    <row r="850" spans="1:7" s="32" customFormat="1" x14ac:dyDescent="0.2">
      <c r="A850" s="64" t="s">
        <v>314</v>
      </c>
      <c r="B850" s="30" t="s">
        <v>545</v>
      </c>
      <c r="C850" s="30" t="s">
        <v>107</v>
      </c>
      <c r="D850" s="30" t="s">
        <v>214</v>
      </c>
      <c r="E850" s="30" t="s">
        <v>110</v>
      </c>
      <c r="F850" s="41">
        <v>15500</v>
      </c>
      <c r="G850" s="41">
        <v>15500</v>
      </c>
    </row>
    <row r="851" spans="1:7" s="32" customFormat="1" ht="13.5" x14ac:dyDescent="0.2">
      <c r="A851" s="165" t="s">
        <v>164</v>
      </c>
      <c r="B851" s="154" t="s">
        <v>383</v>
      </c>
      <c r="C851" s="154"/>
      <c r="D851" s="154"/>
      <c r="E851" s="154"/>
      <c r="F851" s="156">
        <f>F852</f>
        <v>3548</v>
      </c>
      <c r="G851" s="156">
        <f>G852</f>
        <v>3548</v>
      </c>
    </row>
    <row r="852" spans="1:7" s="32" customFormat="1" x14ac:dyDescent="0.2">
      <c r="A852" s="61" t="s">
        <v>511</v>
      </c>
      <c r="B852" s="24" t="s">
        <v>552</v>
      </c>
      <c r="C852" s="24" t="s">
        <v>817</v>
      </c>
      <c r="D852" s="30"/>
      <c r="E852" s="30"/>
      <c r="F852" s="42">
        <f>F853</f>
        <v>3548</v>
      </c>
      <c r="G852" s="42">
        <f>G853</f>
        <v>3548</v>
      </c>
    </row>
    <row r="853" spans="1:7" s="32" customFormat="1" x14ac:dyDescent="0.2">
      <c r="A853" s="61" t="s">
        <v>819</v>
      </c>
      <c r="B853" s="24" t="s">
        <v>552</v>
      </c>
      <c r="C853" s="24" t="s">
        <v>817</v>
      </c>
      <c r="D853" s="24" t="s">
        <v>818</v>
      </c>
      <c r="E853" s="24"/>
      <c r="F853" s="42">
        <f>F854+F856+F858</f>
        <v>3548</v>
      </c>
      <c r="G853" s="42">
        <f>G854+G856+G858</f>
        <v>3548</v>
      </c>
    </row>
    <row r="854" spans="1:7" s="32" customFormat="1" ht="36" x14ac:dyDescent="0.2">
      <c r="A854" s="64" t="s">
        <v>217</v>
      </c>
      <c r="B854" s="30" t="s">
        <v>552</v>
      </c>
      <c r="C854" s="30" t="s">
        <v>817</v>
      </c>
      <c r="D854" s="30" t="s">
        <v>818</v>
      </c>
      <c r="E854" s="30" t="s">
        <v>218</v>
      </c>
      <c r="F854" s="41">
        <f>F855</f>
        <v>3374</v>
      </c>
      <c r="G854" s="41">
        <f>G855</f>
        <v>3374</v>
      </c>
    </row>
    <row r="855" spans="1:7" s="32" customFormat="1" x14ac:dyDescent="0.2">
      <c r="A855" s="64" t="s">
        <v>820</v>
      </c>
      <c r="B855" s="30" t="s">
        <v>552</v>
      </c>
      <c r="C855" s="30" t="s">
        <v>817</v>
      </c>
      <c r="D855" s="30" t="s">
        <v>818</v>
      </c>
      <c r="E855" s="30" t="s">
        <v>821</v>
      </c>
      <c r="F855" s="41">
        <v>3374</v>
      </c>
      <c r="G855" s="41">
        <v>3374</v>
      </c>
    </row>
    <row r="856" spans="1:7" s="32" customFormat="1" x14ac:dyDescent="0.2">
      <c r="A856" s="64" t="s">
        <v>473</v>
      </c>
      <c r="B856" s="30" t="s">
        <v>552</v>
      </c>
      <c r="C856" s="30" t="s">
        <v>817</v>
      </c>
      <c r="D856" s="30" t="s">
        <v>818</v>
      </c>
      <c r="E856" s="30" t="s">
        <v>226</v>
      </c>
      <c r="F856" s="41">
        <f>F857</f>
        <v>171</v>
      </c>
      <c r="G856" s="41">
        <f>G857</f>
        <v>171</v>
      </c>
    </row>
    <row r="857" spans="1:7" s="32" customFormat="1" x14ac:dyDescent="0.2">
      <c r="A857" s="64" t="s">
        <v>227</v>
      </c>
      <c r="B857" s="30" t="s">
        <v>552</v>
      </c>
      <c r="C857" s="30" t="s">
        <v>817</v>
      </c>
      <c r="D857" s="30" t="s">
        <v>818</v>
      </c>
      <c r="E857" s="30" t="s">
        <v>228</v>
      </c>
      <c r="F857" s="41">
        <v>171</v>
      </c>
      <c r="G857" s="41">
        <v>171</v>
      </c>
    </row>
    <row r="858" spans="1:7" s="32" customFormat="1" x14ac:dyDescent="0.2">
      <c r="A858" s="64" t="s">
        <v>229</v>
      </c>
      <c r="B858" s="30" t="s">
        <v>552</v>
      </c>
      <c r="C858" s="30" t="s">
        <v>817</v>
      </c>
      <c r="D858" s="30" t="s">
        <v>818</v>
      </c>
      <c r="E858" s="30" t="s">
        <v>230</v>
      </c>
      <c r="F858" s="41">
        <f>F859</f>
        <v>3</v>
      </c>
      <c r="G858" s="41">
        <f>G859</f>
        <v>3</v>
      </c>
    </row>
    <row r="859" spans="1:7" s="32" customFormat="1" x14ac:dyDescent="0.2">
      <c r="A859" s="64" t="s">
        <v>311</v>
      </c>
      <c r="B859" s="30" t="s">
        <v>552</v>
      </c>
      <c r="C859" s="30" t="s">
        <v>817</v>
      </c>
      <c r="D859" s="30" t="s">
        <v>818</v>
      </c>
      <c r="E859" s="30" t="s">
        <v>231</v>
      </c>
      <c r="F859" s="41">
        <v>3</v>
      </c>
      <c r="G859" s="41">
        <v>3</v>
      </c>
    </row>
    <row r="860" spans="1:7" s="32" customFormat="1" ht="13.5" x14ac:dyDescent="0.2">
      <c r="A860" s="165" t="s">
        <v>510</v>
      </c>
      <c r="B860" s="154" t="s">
        <v>383</v>
      </c>
      <c r="C860" s="154"/>
      <c r="D860" s="154"/>
      <c r="E860" s="154"/>
      <c r="F860" s="156">
        <f t="shared" ref="F860:G862" si="125">F861</f>
        <v>4600</v>
      </c>
      <c r="G860" s="156">
        <f t="shared" si="125"/>
        <v>4600</v>
      </c>
    </row>
    <row r="861" spans="1:7" s="32" customFormat="1" x14ac:dyDescent="0.2">
      <c r="A861" s="61" t="s">
        <v>256</v>
      </c>
      <c r="B861" s="24" t="s">
        <v>147</v>
      </c>
      <c r="C861" s="24" t="s">
        <v>214</v>
      </c>
      <c r="D861" s="25"/>
      <c r="E861" s="30"/>
      <c r="F861" s="42">
        <f t="shared" si="125"/>
        <v>4600</v>
      </c>
      <c r="G861" s="42">
        <f t="shared" si="125"/>
        <v>4600</v>
      </c>
    </row>
    <row r="862" spans="1:7" s="32" customFormat="1" x14ac:dyDescent="0.2">
      <c r="A862" s="61" t="s">
        <v>726</v>
      </c>
      <c r="B862" s="24" t="s">
        <v>147</v>
      </c>
      <c r="C862" s="24" t="s">
        <v>214</v>
      </c>
      <c r="D862" s="24" t="s">
        <v>235</v>
      </c>
      <c r="E862" s="24"/>
      <c r="F862" s="42">
        <f t="shared" si="125"/>
        <v>4600</v>
      </c>
      <c r="G862" s="42">
        <f t="shared" si="125"/>
        <v>4600</v>
      </c>
    </row>
    <row r="863" spans="1:7" s="32" customFormat="1" x14ac:dyDescent="0.2">
      <c r="A863" s="64" t="s">
        <v>229</v>
      </c>
      <c r="B863" s="30" t="s">
        <v>147</v>
      </c>
      <c r="C863" s="30" t="s">
        <v>214</v>
      </c>
      <c r="D863" s="30" t="s">
        <v>235</v>
      </c>
      <c r="E863" s="30" t="s">
        <v>230</v>
      </c>
      <c r="F863" s="41">
        <f>F864+F865</f>
        <v>4600</v>
      </c>
      <c r="G863" s="41">
        <f>G864+G865</f>
        <v>4600</v>
      </c>
    </row>
    <row r="864" spans="1:7" s="32" customFormat="1" x14ac:dyDescent="0.2">
      <c r="A864" s="64" t="s">
        <v>306</v>
      </c>
      <c r="B864" s="30" t="s">
        <v>147</v>
      </c>
      <c r="C864" s="30" t="s">
        <v>214</v>
      </c>
      <c r="D864" s="30" t="s">
        <v>235</v>
      </c>
      <c r="E864" s="30" t="s">
        <v>310</v>
      </c>
      <c r="F864" s="41">
        <v>4570</v>
      </c>
      <c r="G864" s="41">
        <v>4570</v>
      </c>
    </row>
    <row r="865" spans="1:7" s="32" customFormat="1" x14ac:dyDescent="0.2">
      <c r="A865" s="64" t="s">
        <v>311</v>
      </c>
      <c r="B865" s="30" t="s">
        <v>147</v>
      </c>
      <c r="C865" s="30" t="s">
        <v>214</v>
      </c>
      <c r="D865" s="30" t="s">
        <v>235</v>
      </c>
      <c r="E865" s="30" t="s">
        <v>231</v>
      </c>
      <c r="F865" s="41">
        <v>30</v>
      </c>
      <c r="G865" s="41">
        <v>30</v>
      </c>
    </row>
    <row r="866" spans="1:7" s="32" customFormat="1" ht="13.5" x14ac:dyDescent="0.2">
      <c r="A866" s="165" t="s">
        <v>168</v>
      </c>
      <c r="B866" s="154" t="s">
        <v>383</v>
      </c>
      <c r="C866" s="154"/>
      <c r="D866" s="154"/>
      <c r="E866" s="154"/>
      <c r="F866" s="156">
        <f>F867</f>
        <v>3694</v>
      </c>
      <c r="G866" s="156">
        <f>G867</f>
        <v>3694</v>
      </c>
    </row>
    <row r="867" spans="1:7" s="32" customFormat="1" x14ac:dyDescent="0.2">
      <c r="A867" s="61" t="s">
        <v>692</v>
      </c>
      <c r="B867" s="24" t="s">
        <v>555</v>
      </c>
      <c r="C867" s="24" t="s">
        <v>823</v>
      </c>
      <c r="D867" s="24"/>
      <c r="E867" s="24"/>
      <c r="F867" s="42">
        <f>F868</f>
        <v>3694</v>
      </c>
      <c r="G867" s="42">
        <f>G868</f>
        <v>3694</v>
      </c>
    </row>
    <row r="868" spans="1:7" s="32" customFormat="1" x14ac:dyDescent="0.2">
      <c r="A868" s="61" t="s">
        <v>679</v>
      </c>
      <c r="B868" s="24" t="s">
        <v>555</v>
      </c>
      <c r="C868" s="24" t="s">
        <v>823</v>
      </c>
      <c r="D868" s="24" t="s">
        <v>214</v>
      </c>
      <c r="E868" s="24"/>
      <c r="F868" s="42">
        <f>F869+F871+F873</f>
        <v>3694</v>
      </c>
      <c r="G868" s="42">
        <f>G869+G871+G873</f>
        <v>3694</v>
      </c>
    </row>
    <row r="869" spans="1:7" s="32" customFormat="1" ht="36" x14ac:dyDescent="0.2">
      <c r="A869" s="64" t="s">
        <v>217</v>
      </c>
      <c r="B869" s="30" t="s">
        <v>555</v>
      </c>
      <c r="C869" s="30" t="s">
        <v>823</v>
      </c>
      <c r="D869" s="30" t="s">
        <v>214</v>
      </c>
      <c r="E869" s="30" t="s">
        <v>218</v>
      </c>
      <c r="F869" s="41">
        <f>F870</f>
        <v>3071</v>
      </c>
      <c r="G869" s="41">
        <f>G870</f>
        <v>3071</v>
      </c>
    </row>
    <row r="870" spans="1:7" s="32" customFormat="1" x14ac:dyDescent="0.2">
      <c r="A870" s="64" t="s">
        <v>820</v>
      </c>
      <c r="B870" s="30" t="s">
        <v>555</v>
      </c>
      <c r="C870" s="30" t="s">
        <v>823</v>
      </c>
      <c r="D870" s="30" t="s">
        <v>214</v>
      </c>
      <c r="E870" s="30" t="s">
        <v>821</v>
      </c>
      <c r="F870" s="41">
        <v>3071</v>
      </c>
      <c r="G870" s="41">
        <v>3071</v>
      </c>
    </row>
    <row r="871" spans="1:7" s="32" customFormat="1" x14ac:dyDescent="0.2">
      <c r="A871" s="64" t="s">
        <v>473</v>
      </c>
      <c r="B871" s="30" t="s">
        <v>555</v>
      </c>
      <c r="C871" s="30" t="s">
        <v>823</v>
      </c>
      <c r="D871" s="30" t="s">
        <v>214</v>
      </c>
      <c r="E871" s="30" t="s">
        <v>226</v>
      </c>
      <c r="F871" s="41">
        <f>F872</f>
        <v>617</v>
      </c>
      <c r="G871" s="41">
        <f>G872</f>
        <v>617</v>
      </c>
    </row>
    <row r="872" spans="1:7" s="32" customFormat="1" x14ac:dyDescent="0.2">
      <c r="A872" s="64" t="s">
        <v>227</v>
      </c>
      <c r="B872" s="30" t="s">
        <v>555</v>
      </c>
      <c r="C872" s="30" t="s">
        <v>823</v>
      </c>
      <c r="D872" s="30" t="s">
        <v>214</v>
      </c>
      <c r="E872" s="30" t="s">
        <v>228</v>
      </c>
      <c r="F872" s="41">
        <v>617</v>
      </c>
      <c r="G872" s="41">
        <v>617</v>
      </c>
    </row>
    <row r="873" spans="1:7" s="32" customFormat="1" x14ac:dyDescent="0.2">
      <c r="A873" s="64" t="s">
        <v>229</v>
      </c>
      <c r="B873" s="30" t="s">
        <v>555</v>
      </c>
      <c r="C873" s="30" t="s">
        <v>823</v>
      </c>
      <c r="D873" s="30" t="s">
        <v>214</v>
      </c>
      <c r="E873" s="30" t="s">
        <v>230</v>
      </c>
      <c r="F873" s="41">
        <f>F874</f>
        <v>6</v>
      </c>
      <c r="G873" s="41">
        <f>G874</f>
        <v>6</v>
      </c>
    </row>
    <row r="874" spans="1:7" s="32" customFormat="1" x14ac:dyDescent="0.2">
      <c r="A874" s="64" t="s">
        <v>311</v>
      </c>
      <c r="B874" s="30" t="s">
        <v>555</v>
      </c>
      <c r="C874" s="30" t="s">
        <v>823</v>
      </c>
      <c r="D874" s="30" t="s">
        <v>214</v>
      </c>
      <c r="E874" s="30" t="s">
        <v>231</v>
      </c>
      <c r="F874" s="41">
        <v>6</v>
      </c>
      <c r="G874" s="41">
        <v>6</v>
      </c>
    </row>
    <row r="875" spans="1:7" s="32" customFormat="1" ht="27" x14ac:dyDescent="0.2">
      <c r="A875" s="165" t="s">
        <v>171</v>
      </c>
      <c r="B875" s="154" t="s">
        <v>383</v>
      </c>
      <c r="C875" s="154"/>
      <c r="D875" s="154"/>
      <c r="E875" s="154"/>
      <c r="F875" s="156">
        <f t="shared" ref="F875:G878" si="126">F876</f>
        <v>7000</v>
      </c>
      <c r="G875" s="156">
        <f t="shared" si="126"/>
        <v>7000</v>
      </c>
    </row>
    <row r="876" spans="1:7" s="32" customFormat="1" x14ac:dyDescent="0.2">
      <c r="A876" s="61" t="s">
        <v>692</v>
      </c>
      <c r="B876" s="24" t="s">
        <v>556</v>
      </c>
      <c r="C876" s="24" t="s">
        <v>823</v>
      </c>
      <c r="D876" s="30"/>
      <c r="E876" s="30"/>
      <c r="F876" s="42">
        <f t="shared" si="126"/>
        <v>7000</v>
      </c>
      <c r="G876" s="42">
        <f t="shared" si="126"/>
        <v>7000</v>
      </c>
    </row>
    <row r="877" spans="1:7" s="32" customFormat="1" x14ac:dyDescent="0.2">
      <c r="A877" s="61" t="s">
        <v>680</v>
      </c>
      <c r="B877" s="24" t="s">
        <v>556</v>
      </c>
      <c r="C877" s="24" t="s">
        <v>823</v>
      </c>
      <c r="D877" s="24" t="s">
        <v>825</v>
      </c>
      <c r="E877" s="30"/>
      <c r="F877" s="42">
        <f t="shared" si="126"/>
        <v>7000</v>
      </c>
      <c r="G877" s="42">
        <f t="shared" si="126"/>
        <v>7000</v>
      </c>
    </row>
    <row r="878" spans="1:7" s="32" customFormat="1" ht="24" x14ac:dyDescent="0.2">
      <c r="A878" s="64" t="s">
        <v>246</v>
      </c>
      <c r="B878" s="30" t="s">
        <v>556</v>
      </c>
      <c r="C878" s="30" t="s">
        <v>823</v>
      </c>
      <c r="D878" s="30" t="s">
        <v>825</v>
      </c>
      <c r="E878" s="30" t="s">
        <v>702</v>
      </c>
      <c r="F878" s="41">
        <f t="shared" si="126"/>
        <v>7000</v>
      </c>
      <c r="G878" s="41">
        <f t="shared" si="126"/>
        <v>7000</v>
      </c>
    </row>
    <row r="879" spans="1:7" s="32" customFormat="1" x14ac:dyDescent="0.2">
      <c r="A879" s="64" t="s">
        <v>247</v>
      </c>
      <c r="B879" s="30" t="s">
        <v>556</v>
      </c>
      <c r="C879" s="30" t="s">
        <v>823</v>
      </c>
      <c r="D879" s="30" t="s">
        <v>825</v>
      </c>
      <c r="E879" s="30" t="s">
        <v>724</v>
      </c>
      <c r="F879" s="41">
        <v>7000</v>
      </c>
      <c r="G879" s="41">
        <v>7000</v>
      </c>
    </row>
    <row r="880" spans="1:7" s="32" customFormat="1" ht="13.5" x14ac:dyDescent="0.2">
      <c r="A880" s="165" t="s">
        <v>716</v>
      </c>
      <c r="B880" s="154" t="s">
        <v>383</v>
      </c>
      <c r="C880" s="154"/>
      <c r="D880" s="154"/>
      <c r="E880" s="154"/>
      <c r="F880" s="156">
        <f t="shared" ref="F880:G883" si="127">F881</f>
        <v>750</v>
      </c>
      <c r="G880" s="156">
        <f t="shared" si="127"/>
        <v>750</v>
      </c>
    </row>
    <row r="881" spans="1:7" s="32" customFormat="1" x14ac:dyDescent="0.2">
      <c r="A881" s="61" t="s">
        <v>673</v>
      </c>
      <c r="B881" s="24" t="s">
        <v>42</v>
      </c>
      <c r="C881" s="24" t="s">
        <v>824</v>
      </c>
      <c r="D881" s="24"/>
      <c r="E881" s="78"/>
      <c r="F881" s="42">
        <f t="shared" si="127"/>
        <v>750</v>
      </c>
      <c r="G881" s="42">
        <f t="shared" si="127"/>
        <v>750</v>
      </c>
    </row>
    <row r="882" spans="1:7" s="32" customFormat="1" x14ac:dyDescent="0.2">
      <c r="A882" s="66" t="s">
        <v>676</v>
      </c>
      <c r="B882" s="24" t="s">
        <v>42</v>
      </c>
      <c r="C882" s="24" t="s">
        <v>824</v>
      </c>
      <c r="D882" s="24" t="s">
        <v>824</v>
      </c>
      <c r="E882" s="24"/>
      <c r="F882" s="42">
        <f t="shared" si="127"/>
        <v>750</v>
      </c>
      <c r="G882" s="42">
        <f t="shared" si="127"/>
        <v>750</v>
      </c>
    </row>
    <row r="883" spans="1:7" s="32" customFormat="1" x14ac:dyDescent="0.2">
      <c r="A883" s="64" t="s">
        <v>473</v>
      </c>
      <c r="B883" s="30" t="s">
        <v>42</v>
      </c>
      <c r="C883" s="30" t="s">
        <v>824</v>
      </c>
      <c r="D883" s="30" t="s">
        <v>824</v>
      </c>
      <c r="E883" s="30" t="s">
        <v>226</v>
      </c>
      <c r="F883" s="41">
        <f t="shared" si="127"/>
        <v>750</v>
      </c>
      <c r="G883" s="41">
        <f t="shared" si="127"/>
        <v>750</v>
      </c>
    </row>
    <row r="884" spans="1:7" s="32" customFormat="1" x14ac:dyDescent="0.2">
      <c r="A884" s="64" t="s">
        <v>227</v>
      </c>
      <c r="B884" s="30" t="s">
        <v>42</v>
      </c>
      <c r="C884" s="30" t="s">
        <v>824</v>
      </c>
      <c r="D884" s="30" t="s">
        <v>824</v>
      </c>
      <c r="E884" s="30" t="s">
        <v>228</v>
      </c>
      <c r="F884" s="41">
        <v>750</v>
      </c>
      <c r="G884" s="41">
        <v>750</v>
      </c>
    </row>
    <row r="885" spans="1:7" s="32" customFormat="1" ht="27" x14ac:dyDescent="0.2">
      <c r="A885" s="165" t="s">
        <v>493</v>
      </c>
      <c r="B885" s="154" t="s">
        <v>383</v>
      </c>
      <c r="C885" s="154"/>
      <c r="D885" s="154"/>
      <c r="E885" s="155"/>
      <c r="F885" s="156">
        <f t="shared" ref="F885:G888" si="128">F886</f>
        <v>1000</v>
      </c>
      <c r="G885" s="156">
        <f t="shared" si="128"/>
        <v>1000</v>
      </c>
    </row>
    <row r="886" spans="1:7" s="32" customFormat="1" x14ac:dyDescent="0.2">
      <c r="A886" s="61" t="s">
        <v>256</v>
      </c>
      <c r="B886" s="24" t="s">
        <v>268</v>
      </c>
      <c r="C886" s="24" t="s">
        <v>214</v>
      </c>
      <c r="D886" s="25"/>
      <c r="E886" s="67"/>
      <c r="F886" s="42">
        <f t="shared" si="128"/>
        <v>1000</v>
      </c>
      <c r="G886" s="42">
        <f t="shared" si="128"/>
        <v>1000</v>
      </c>
    </row>
    <row r="887" spans="1:7" s="32" customFormat="1" x14ac:dyDescent="0.2">
      <c r="A887" s="61" t="s">
        <v>726</v>
      </c>
      <c r="B887" s="24" t="s">
        <v>268</v>
      </c>
      <c r="C887" s="24" t="s">
        <v>214</v>
      </c>
      <c r="D887" s="24" t="s">
        <v>235</v>
      </c>
      <c r="E887" s="24"/>
      <c r="F887" s="42">
        <f t="shared" si="128"/>
        <v>1000</v>
      </c>
      <c r="G887" s="42">
        <f t="shared" si="128"/>
        <v>1000</v>
      </c>
    </row>
    <row r="888" spans="1:7" s="32" customFormat="1" x14ac:dyDescent="0.2">
      <c r="A888" s="64" t="s">
        <v>473</v>
      </c>
      <c r="B888" s="30" t="s">
        <v>268</v>
      </c>
      <c r="C888" s="30" t="s">
        <v>214</v>
      </c>
      <c r="D888" s="30" t="s">
        <v>235</v>
      </c>
      <c r="E888" s="31">
        <v>200</v>
      </c>
      <c r="F888" s="41">
        <f t="shared" si="128"/>
        <v>1000</v>
      </c>
      <c r="G888" s="41">
        <f t="shared" si="128"/>
        <v>1000</v>
      </c>
    </row>
    <row r="889" spans="1:7" s="32" customFormat="1" x14ac:dyDescent="0.2">
      <c r="A889" s="64" t="s">
        <v>227</v>
      </c>
      <c r="B889" s="30" t="s">
        <v>268</v>
      </c>
      <c r="C889" s="30" t="s">
        <v>214</v>
      </c>
      <c r="D889" s="30" t="s">
        <v>235</v>
      </c>
      <c r="E889" s="30" t="s">
        <v>228</v>
      </c>
      <c r="F889" s="41">
        <v>1000</v>
      </c>
      <c r="G889" s="41">
        <v>1000</v>
      </c>
    </row>
    <row r="890" spans="1:7" s="32" customFormat="1" ht="13.5" x14ac:dyDescent="0.2">
      <c r="A890" s="152" t="s">
        <v>553</v>
      </c>
      <c r="B890" s="154" t="s">
        <v>383</v>
      </c>
      <c r="C890" s="154"/>
      <c r="D890" s="154"/>
      <c r="E890" s="154"/>
      <c r="F890" s="156">
        <f t="shared" ref="F890:G893" si="129">F891</f>
        <v>1000</v>
      </c>
      <c r="G890" s="156">
        <f t="shared" si="129"/>
        <v>1000</v>
      </c>
    </row>
    <row r="891" spans="1:7" s="32" customFormat="1" x14ac:dyDescent="0.2">
      <c r="A891" s="61" t="s">
        <v>256</v>
      </c>
      <c r="B891" s="24" t="s">
        <v>269</v>
      </c>
      <c r="C891" s="24" t="s">
        <v>214</v>
      </c>
      <c r="D891" s="25"/>
      <c r="E891" s="24"/>
      <c r="F891" s="42">
        <f t="shared" si="129"/>
        <v>1000</v>
      </c>
      <c r="G891" s="42">
        <f t="shared" si="129"/>
        <v>1000</v>
      </c>
    </row>
    <row r="892" spans="1:7" s="32" customFormat="1" x14ac:dyDescent="0.2">
      <c r="A892" s="61" t="s">
        <v>726</v>
      </c>
      <c r="B892" s="24" t="s">
        <v>269</v>
      </c>
      <c r="C892" s="24" t="s">
        <v>214</v>
      </c>
      <c r="D892" s="24" t="s">
        <v>235</v>
      </c>
      <c r="E892" s="24"/>
      <c r="F892" s="42">
        <f t="shared" si="129"/>
        <v>1000</v>
      </c>
      <c r="G892" s="42">
        <f t="shared" si="129"/>
        <v>1000</v>
      </c>
    </row>
    <row r="893" spans="1:7" s="32" customFormat="1" x14ac:dyDescent="0.2">
      <c r="A893" s="64" t="s">
        <v>473</v>
      </c>
      <c r="B893" s="30" t="s">
        <v>269</v>
      </c>
      <c r="C893" s="30" t="s">
        <v>214</v>
      </c>
      <c r="D893" s="30" t="s">
        <v>235</v>
      </c>
      <c r="E893" s="30" t="s">
        <v>226</v>
      </c>
      <c r="F893" s="118">
        <f t="shared" si="129"/>
        <v>1000</v>
      </c>
      <c r="G893" s="118">
        <f t="shared" si="129"/>
        <v>1000</v>
      </c>
    </row>
    <row r="894" spans="1:7" s="32" customFormat="1" x14ac:dyDescent="0.2">
      <c r="A894" s="64" t="s">
        <v>227</v>
      </c>
      <c r="B894" s="30" t="s">
        <v>269</v>
      </c>
      <c r="C894" s="30" t="s">
        <v>214</v>
      </c>
      <c r="D894" s="30" t="s">
        <v>235</v>
      </c>
      <c r="E894" s="30" t="s">
        <v>228</v>
      </c>
      <c r="F894" s="41">
        <v>1000</v>
      </c>
      <c r="G894" s="41">
        <v>1000</v>
      </c>
    </row>
    <row r="895" spans="1:7" s="32" customFormat="1" ht="13.5" x14ac:dyDescent="0.2">
      <c r="A895" s="152" t="s">
        <v>554</v>
      </c>
      <c r="B895" s="154" t="s">
        <v>382</v>
      </c>
      <c r="C895" s="154"/>
      <c r="D895" s="154"/>
      <c r="E895" s="154"/>
      <c r="F895" s="156">
        <f t="shared" ref="F895:G898" si="130">F896</f>
        <v>1000</v>
      </c>
      <c r="G895" s="156">
        <f t="shared" si="130"/>
        <v>1000</v>
      </c>
    </row>
    <row r="896" spans="1:7" s="32" customFormat="1" ht="13.5" x14ac:dyDescent="0.2">
      <c r="A896" s="61" t="s">
        <v>655</v>
      </c>
      <c r="B896" s="24" t="s">
        <v>270</v>
      </c>
      <c r="C896" s="24" t="s">
        <v>216</v>
      </c>
      <c r="D896" s="53"/>
      <c r="E896" s="53"/>
      <c r="F896" s="42">
        <f t="shared" si="130"/>
        <v>1000</v>
      </c>
      <c r="G896" s="42">
        <f t="shared" si="130"/>
        <v>1000</v>
      </c>
    </row>
    <row r="897" spans="1:7" s="32" customFormat="1" ht="13.5" x14ac:dyDescent="0.2">
      <c r="A897" s="61" t="s">
        <v>698</v>
      </c>
      <c r="B897" s="24" t="s">
        <v>270</v>
      </c>
      <c r="C897" s="24" t="s">
        <v>216</v>
      </c>
      <c r="D897" s="24" t="s">
        <v>823</v>
      </c>
      <c r="E897" s="53"/>
      <c r="F897" s="42">
        <f t="shared" si="130"/>
        <v>1000</v>
      </c>
      <c r="G897" s="42">
        <f t="shared" si="130"/>
        <v>1000</v>
      </c>
    </row>
    <row r="898" spans="1:7" s="32" customFormat="1" x14ac:dyDescent="0.2">
      <c r="A898" s="84" t="s">
        <v>473</v>
      </c>
      <c r="B898" s="30" t="s">
        <v>270</v>
      </c>
      <c r="C898" s="30" t="s">
        <v>216</v>
      </c>
      <c r="D898" s="30" t="s">
        <v>823</v>
      </c>
      <c r="E898" s="30" t="s">
        <v>226</v>
      </c>
      <c r="F898" s="41">
        <f t="shared" si="130"/>
        <v>1000</v>
      </c>
      <c r="G898" s="41">
        <f t="shared" si="130"/>
        <v>1000</v>
      </c>
    </row>
    <row r="899" spans="1:7" s="32" customFormat="1" x14ac:dyDescent="0.2">
      <c r="A899" s="84" t="s">
        <v>227</v>
      </c>
      <c r="B899" s="30" t="s">
        <v>270</v>
      </c>
      <c r="C899" s="30" t="s">
        <v>216</v>
      </c>
      <c r="D899" s="30" t="s">
        <v>823</v>
      </c>
      <c r="E899" s="30" t="s">
        <v>228</v>
      </c>
      <c r="F899" s="41">
        <v>1000</v>
      </c>
      <c r="G899" s="41">
        <v>1000</v>
      </c>
    </row>
    <row r="900" spans="1:7" s="32" customFormat="1" ht="13.5" x14ac:dyDescent="0.2">
      <c r="A900" s="152" t="s">
        <v>727</v>
      </c>
      <c r="B900" s="154" t="s">
        <v>382</v>
      </c>
      <c r="C900" s="154"/>
      <c r="D900" s="154"/>
      <c r="E900" s="154"/>
      <c r="F900" s="156">
        <f t="shared" ref="F900:G904" si="131">F901</f>
        <v>112000</v>
      </c>
      <c r="G900" s="156">
        <f t="shared" si="131"/>
        <v>122000</v>
      </c>
    </row>
    <row r="901" spans="1:7" s="32" customFormat="1" x14ac:dyDescent="0.2">
      <c r="A901" s="80" t="s">
        <v>693</v>
      </c>
      <c r="B901" s="24" t="s">
        <v>47</v>
      </c>
      <c r="C901" s="24" t="s">
        <v>235</v>
      </c>
      <c r="D901" s="24"/>
      <c r="E901" s="24"/>
      <c r="F901" s="42">
        <f t="shared" si="131"/>
        <v>112000</v>
      </c>
      <c r="G901" s="42">
        <f t="shared" si="131"/>
        <v>122000</v>
      </c>
    </row>
    <row r="902" spans="1:7" s="32" customFormat="1" ht="15.75" x14ac:dyDescent="0.2">
      <c r="A902" s="80" t="s">
        <v>727</v>
      </c>
      <c r="B902" s="24" t="s">
        <v>47</v>
      </c>
      <c r="C902" s="24" t="s">
        <v>235</v>
      </c>
      <c r="D902" s="24" t="s">
        <v>214</v>
      </c>
      <c r="E902" s="47"/>
      <c r="F902" s="42">
        <f t="shared" si="131"/>
        <v>112000</v>
      </c>
      <c r="G902" s="42">
        <f t="shared" si="131"/>
        <v>122000</v>
      </c>
    </row>
    <row r="903" spans="1:7" s="32" customFormat="1" x14ac:dyDescent="0.2">
      <c r="A903" s="85" t="s">
        <v>507</v>
      </c>
      <c r="B903" s="55" t="s">
        <v>47</v>
      </c>
      <c r="C903" s="33" t="s">
        <v>235</v>
      </c>
      <c r="D903" s="33" t="s">
        <v>214</v>
      </c>
      <c r="E903" s="33"/>
      <c r="F903" s="101">
        <f t="shared" si="131"/>
        <v>112000</v>
      </c>
      <c r="G903" s="101">
        <f t="shared" si="131"/>
        <v>122000</v>
      </c>
    </row>
    <row r="904" spans="1:7" s="32" customFormat="1" x14ac:dyDescent="0.2">
      <c r="A904" s="84" t="s">
        <v>477</v>
      </c>
      <c r="B904" s="30" t="s">
        <v>47</v>
      </c>
      <c r="C904" s="30" t="s">
        <v>235</v>
      </c>
      <c r="D904" s="30" t="s">
        <v>214</v>
      </c>
      <c r="E904" s="30" t="s">
        <v>478</v>
      </c>
      <c r="F904" s="41">
        <f t="shared" si="131"/>
        <v>112000</v>
      </c>
      <c r="G904" s="41">
        <f t="shared" si="131"/>
        <v>122000</v>
      </c>
    </row>
    <row r="905" spans="1:7" s="32" customFormat="1" x14ac:dyDescent="0.2">
      <c r="A905" s="84" t="s">
        <v>479</v>
      </c>
      <c r="B905" s="30" t="s">
        <v>47</v>
      </c>
      <c r="C905" s="30" t="s">
        <v>235</v>
      </c>
      <c r="D905" s="30" t="s">
        <v>214</v>
      </c>
      <c r="E905" s="30" t="s">
        <v>708</v>
      </c>
      <c r="F905" s="41">
        <f>122000-10000</f>
        <v>112000</v>
      </c>
      <c r="G905" s="41">
        <v>122000</v>
      </c>
    </row>
    <row r="906" spans="1:7" s="32" customFormat="1" ht="13.5" x14ac:dyDescent="0.2">
      <c r="A906" s="165" t="s">
        <v>148</v>
      </c>
      <c r="B906" s="154" t="s">
        <v>383</v>
      </c>
      <c r="C906" s="154"/>
      <c r="D906" s="154"/>
      <c r="E906" s="154"/>
      <c r="F906" s="156">
        <f t="shared" ref="F906:G910" si="132">F907</f>
        <v>3000</v>
      </c>
      <c r="G906" s="156">
        <f t="shared" si="132"/>
        <v>3000</v>
      </c>
    </row>
    <row r="907" spans="1:7" s="32" customFormat="1" x14ac:dyDescent="0.2">
      <c r="A907" s="61" t="s">
        <v>700</v>
      </c>
      <c r="B907" s="24" t="s">
        <v>15</v>
      </c>
      <c r="C907" s="24" t="s">
        <v>107</v>
      </c>
      <c r="D907" s="24"/>
      <c r="E907" s="24"/>
      <c r="F907" s="42">
        <f t="shared" si="132"/>
        <v>3000</v>
      </c>
      <c r="G907" s="42">
        <f t="shared" si="132"/>
        <v>3000</v>
      </c>
    </row>
    <row r="908" spans="1:7" s="32" customFormat="1" x14ac:dyDescent="0.2">
      <c r="A908" s="61" t="s">
        <v>687</v>
      </c>
      <c r="B908" s="24" t="s">
        <v>15</v>
      </c>
      <c r="C908" s="24" t="s">
        <v>107</v>
      </c>
      <c r="D908" s="24" t="s">
        <v>817</v>
      </c>
      <c r="E908" s="24"/>
      <c r="F908" s="42">
        <f t="shared" si="132"/>
        <v>3000</v>
      </c>
      <c r="G908" s="42">
        <f t="shared" si="132"/>
        <v>3000</v>
      </c>
    </row>
    <row r="909" spans="1:7" s="32" customFormat="1" x14ac:dyDescent="0.2">
      <c r="A909" s="80" t="s">
        <v>789</v>
      </c>
      <c r="B909" s="24" t="s">
        <v>15</v>
      </c>
      <c r="C909" s="24" t="s">
        <v>107</v>
      </c>
      <c r="D909" s="24" t="s">
        <v>817</v>
      </c>
      <c r="E909" s="24"/>
      <c r="F909" s="42">
        <f t="shared" si="132"/>
        <v>3000</v>
      </c>
      <c r="G909" s="42">
        <f t="shared" si="132"/>
        <v>3000</v>
      </c>
    </row>
    <row r="910" spans="1:7" s="32" customFormat="1" x14ac:dyDescent="0.2">
      <c r="A910" s="64" t="s">
        <v>237</v>
      </c>
      <c r="B910" s="30" t="s">
        <v>15</v>
      </c>
      <c r="C910" s="30" t="s">
        <v>107</v>
      </c>
      <c r="D910" s="30" t="s">
        <v>817</v>
      </c>
      <c r="E910" s="30" t="s">
        <v>236</v>
      </c>
      <c r="F910" s="41">
        <f t="shared" si="132"/>
        <v>3000</v>
      </c>
      <c r="G910" s="41">
        <f t="shared" si="132"/>
        <v>3000</v>
      </c>
    </row>
    <row r="911" spans="1:7" s="32" customFormat="1" x14ac:dyDescent="0.2">
      <c r="A911" s="64" t="s">
        <v>238</v>
      </c>
      <c r="B911" s="30" t="s">
        <v>15</v>
      </c>
      <c r="C911" s="30" t="s">
        <v>107</v>
      </c>
      <c r="D911" s="30" t="s">
        <v>817</v>
      </c>
      <c r="E911" s="30" t="s">
        <v>239</v>
      </c>
      <c r="F911" s="41">
        <v>3000</v>
      </c>
      <c r="G911" s="41">
        <v>3000</v>
      </c>
    </row>
    <row r="912" spans="1:7" s="32" customFormat="1" ht="27" x14ac:dyDescent="0.2">
      <c r="A912" s="165" t="s">
        <v>139</v>
      </c>
      <c r="B912" s="154" t="s">
        <v>336</v>
      </c>
      <c r="C912" s="154"/>
      <c r="D912" s="154"/>
      <c r="E912" s="154"/>
      <c r="F912" s="156">
        <f t="shared" ref="F912:G916" si="133">F913</f>
        <v>2194</v>
      </c>
      <c r="G912" s="156">
        <f t="shared" si="133"/>
        <v>2194</v>
      </c>
    </row>
    <row r="913" spans="1:7" s="32" customFormat="1" x14ac:dyDescent="0.2">
      <c r="A913" s="63" t="s">
        <v>149</v>
      </c>
      <c r="B913" s="24" t="s">
        <v>336</v>
      </c>
      <c r="C913" s="24"/>
      <c r="D913" s="24"/>
      <c r="E913" s="24"/>
      <c r="F913" s="42">
        <f t="shared" si="133"/>
        <v>2194</v>
      </c>
      <c r="G913" s="42">
        <f t="shared" si="133"/>
        <v>2194</v>
      </c>
    </row>
    <row r="914" spans="1:7" s="32" customFormat="1" x14ac:dyDescent="0.2">
      <c r="A914" s="61" t="s">
        <v>256</v>
      </c>
      <c r="B914" s="24" t="s">
        <v>399</v>
      </c>
      <c r="C914" s="36" t="s">
        <v>214</v>
      </c>
      <c r="D914" s="36"/>
      <c r="E914" s="30"/>
      <c r="F914" s="42">
        <f t="shared" si="133"/>
        <v>2194</v>
      </c>
      <c r="G914" s="42">
        <f t="shared" si="133"/>
        <v>2194</v>
      </c>
    </row>
    <row r="915" spans="1:7" s="32" customFormat="1" x14ac:dyDescent="0.2">
      <c r="A915" s="61" t="s">
        <v>726</v>
      </c>
      <c r="B915" s="24" t="s">
        <v>399</v>
      </c>
      <c r="C915" s="36" t="s">
        <v>214</v>
      </c>
      <c r="D915" s="36" t="s">
        <v>235</v>
      </c>
      <c r="E915" s="25"/>
      <c r="F915" s="42">
        <f t="shared" si="133"/>
        <v>2194</v>
      </c>
      <c r="G915" s="42">
        <f t="shared" si="133"/>
        <v>2194</v>
      </c>
    </row>
    <row r="916" spans="1:7" s="32" customFormat="1" ht="36" x14ac:dyDescent="0.2">
      <c r="A916" s="64" t="s">
        <v>217</v>
      </c>
      <c r="B916" s="30" t="s">
        <v>399</v>
      </c>
      <c r="C916" s="30" t="s">
        <v>214</v>
      </c>
      <c r="D916" s="30" t="s">
        <v>235</v>
      </c>
      <c r="E916" s="30" t="s">
        <v>218</v>
      </c>
      <c r="F916" s="41">
        <f t="shared" si="133"/>
        <v>2194</v>
      </c>
      <c r="G916" s="41">
        <f t="shared" si="133"/>
        <v>2194</v>
      </c>
    </row>
    <row r="917" spans="1:7" s="32" customFormat="1" x14ac:dyDescent="0.2">
      <c r="A917" s="64" t="s">
        <v>219</v>
      </c>
      <c r="B917" s="30" t="s">
        <v>399</v>
      </c>
      <c r="C917" s="30" t="s">
        <v>214</v>
      </c>
      <c r="D917" s="30" t="s">
        <v>235</v>
      </c>
      <c r="E917" s="30" t="s">
        <v>224</v>
      </c>
      <c r="F917" s="41">
        <v>2194</v>
      </c>
      <c r="G917" s="41">
        <v>2194</v>
      </c>
    </row>
    <row r="918" spans="1:7" s="32" customFormat="1" ht="40.5" x14ac:dyDescent="0.2">
      <c r="A918" s="152" t="s">
        <v>764</v>
      </c>
      <c r="B918" s="154" t="s">
        <v>383</v>
      </c>
      <c r="C918" s="154"/>
      <c r="D918" s="154"/>
      <c r="E918" s="154"/>
      <c r="F918" s="156">
        <f t="shared" ref="F918:G921" si="134">F919</f>
        <v>192.4</v>
      </c>
      <c r="G918" s="156">
        <f t="shared" si="134"/>
        <v>203.3</v>
      </c>
    </row>
    <row r="919" spans="1:7" s="32" customFormat="1" x14ac:dyDescent="0.2">
      <c r="A919" s="61" t="s">
        <v>256</v>
      </c>
      <c r="B919" s="24" t="s">
        <v>559</v>
      </c>
      <c r="C919" s="36" t="s">
        <v>214</v>
      </c>
      <c r="D919" s="24"/>
      <c r="E919" s="24"/>
      <c r="F919" s="42">
        <f t="shared" si="134"/>
        <v>192.4</v>
      </c>
      <c r="G919" s="42">
        <f t="shared" si="134"/>
        <v>203.3</v>
      </c>
    </row>
    <row r="920" spans="1:7" s="32" customFormat="1" x14ac:dyDescent="0.2">
      <c r="A920" s="80" t="s">
        <v>760</v>
      </c>
      <c r="B920" s="24" t="s">
        <v>559</v>
      </c>
      <c r="C920" s="24" t="s">
        <v>214</v>
      </c>
      <c r="D920" s="24" t="s">
        <v>731</v>
      </c>
      <c r="E920" s="24"/>
      <c r="F920" s="42">
        <f t="shared" si="134"/>
        <v>192.4</v>
      </c>
      <c r="G920" s="42">
        <f t="shared" si="134"/>
        <v>203.3</v>
      </c>
    </row>
    <row r="921" spans="1:7" s="32" customFormat="1" x14ac:dyDescent="0.2">
      <c r="A921" s="84" t="s">
        <v>473</v>
      </c>
      <c r="B921" s="30" t="s">
        <v>559</v>
      </c>
      <c r="C921" s="30" t="s">
        <v>214</v>
      </c>
      <c r="D921" s="30" t="s">
        <v>731</v>
      </c>
      <c r="E921" s="30" t="s">
        <v>226</v>
      </c>
      <c r="F921" s="41">
        <f t="shared" si="134"/>
        <v>192.4</v>
      </c>
      <c r="G921" s="41">
        <f t="shared" si="134"/>
        <v>203.3</v>
      </c>
    </row>
    <row r="922" spans="1:7" s="32" customFormat="1" x14ac:dyDescent="0.2">
      <c r="A922" s="84" t="s">
        <v>227</v>
      </c>
      <c r="B922" s="30" t="s">
        <v>559</v>
      </c>
      <c r="C922" s="30" t="s">
        <v>214</v>
      </c>
      <c r="D922" s="30" t="s">
        <v>731</v>
      </c>
      <c r="E922" s="30" t="s">
        <v>228</v>
      </c>
      <c r="F922" s="41">
        <v>192.4</v>
      </c>
      <c r="G922" s="41">
        <v>203.3</v>
      </c>
    </row>
    <row r="923" spans="1:7" s="32" customFormat="1" x14ac:dyDescent="0.2">
      <c r="A923" s="250" t="s">
        <v>591</v>
      </c>
      <c r="B923" s="251"/>
      <c r="C923" s="251"/>
      <c r="D923" s="251"/>
      <c r="E923" s="252"/>
      <c r="F923" s="42">
        <f>3984811.4*2.6%</f>
        <v>103605.09640000001</v>
      </c>
      <c r="G923" s="42">
        <f>3868323*5%</f>
        <v>193416.15000000002</v>
      </c>
    </row>
    <row r="924" spans="1:7" s="32" customFormat="1" hidden="1" x14ac:dyDescent="0.2">
      <c r="A924" s="205"/>
      <c r="B924" s="120"/>
      <c r="C924" s="120"/>
      <c r="D924" s="120"/>
      <c r="E924" s="120"/>
      <c r="F924" s="130"/>
      <c r="G924" s="130"/>
    </row>
    <row r="925" spans="1:7" ht="33.75" hidden="1" customHeight="1" x14ac:dyDescent="0.25">
      <c r="A925" s="253" t="s">
        <v>599</v>
      </c>
      <c r="B925" s="254"/>
      <c r="C925" s="254"/>
      <c r="D925" s="254"/>
      <c r="E925" s="254"/>
    </row>
    <row r="926" spans="1:7" x14ac:dyDescent="0.2">
      <c r="C926" s="15"/>
      <c r="D926" s="15"/>
      <c r="E926" s="15"/>
    </row>
    <row r="927" spans="1:7" ht="33.75" customHeight="1" x14ac:dyDescent="0.2">
      <c r="A927" s="242"/>
      <c r="B927" s="242"/>
      <c r="C927" s="15"/>
      <c r="D927" s="15"/>
      <c r="E927" s="15"/>
    </row>
    <row r="928" spans="1:7" x14ac:dyDescent="0.2">
      <c r="C928" s="15"/>
      <c r="D928" s="15"/>
      <c r="E928" s="15"/>
    </row>
    <row r="929" spans="3:5" x14ac:dyDescent="0.2">
      <c r="C929" s="15"/>
      <c r="D929" s="15"/>
      <c r="E929" s="15"/>
    </row>
    <row r="930" spans="3:5" x14ac:dyDescent="0.2">
      <c r="C930" s="15"/>
      <c r="D930" s="15"/>
      <c r="E930" s="15"/>
    </row>
    <row r="931" spans="3:5" x14ac:dyDescent="0.2">
      <c r="C931" s="15"/>
      <c r="D931" s="15"/>
      <c r="E931" s="15"/>
    </row>
    <row r="932" spans="3:5" x14ac:dyDescent="0.2">
      <c r="C932" s="15"/>
      <c r="D932" s="15"/>
      <c r="E932" s="15"/>
    </row>
    <row r="933" spans="3:5" x14ac:dyDescent="0.2">
      <c r="C933" s="15"/>
      <c r="D933" s="15"/>
      <c r="E933" s="15"/>
    </row>
    <row r="934" spans="3:5" x14ac:dyDescent="0.2">
      <c r="C934" s="15"/>
      <c r="D934" s="15"/>
      <c r="E934" s="15"/>
    </row>
    <row r="935" spans="3:5" x14ac:dyDescent="0.2">
      <c r="C935" s="15"/>
      <c r="D935" s="15"/>
      <c r="E935" s="15"/>
    </row>
    <row r="936" spans="3:5" x14ac:dyDescent="0.2">
      <c r="C936" s="15"/>
      <c r="D936" s="15"/>
      <c r="E936" s="15"/>
    </row>
    <row r="937" spans="3:5" x14ac:dyDescent="0.2">
      <c r="C937" s="15"/>
      <c r="D937" s="15"/>
      <c r="E937" s="15"/>
    </row>
    <row r="938" spans="3:5" x14ac:dyDescent="0.2">
      <c r="C938" s="15"/>
      <c r="D938" s="15"/>
      <c r="E938" s="15"/>
    </row>
    <row r="939" spans="3:5" x14ac:dyDescent="0.2">
      <c r="C939" s="15"/>
      <c r="D939" s="15"/>
      <c r="E939" s="15"/>
    </row>
    <row r="940" spans="3:5" x14ac:dyDescent="0.2">
      <c r="C940" s="15"/>
      <c r="D940" s="15"/>
      <c r="E940" s="15"/>
    </row>
    <row r="941" spans="3:5" x14ac:dyDescent="0.2">
      <c r="C941" s="15"/>
      <c r="D941" s="15"/>
      <c r="E941" s="15"/>
    </row>
    <row r="942" spans="3:5" x14ac:dyDescent="0.2">
      <c r="C942" s="15"/>
      <c r="D942" s="15"/>
      <c r="E942" s="15"/>
    </row>
    <row r="943" spans="3:5" x14ac:dyDescent="0.2">
      <c r="C943" s="15"/>
      <c r="D943" s="15"/>
      <c r="E943" s="15"/>
    </row>
    <row r="944" spans="3:5" x14ac:dyDescent="0.2">
      <c r="C944" s="15"/>
      <c r="D944" s="15"/>
      <c r="E944" s="15"/>
    </row>
    <row r="945" spans="3:5" x14ac:dyDescent="0.2">
      <c r="C945" s="15"/>
      <c r="D945" s="15"/>
      <c r="E945" s="15"/>
    </row>
    <row r="946" spans="3:5" x14ac:dyDescent="0.2">
      <c r="C946" s="15"/>
      <c r="D946" s="15"/>
      <c r="E946" s="15"/>
    </row>
    <row r="947" spans="3:5" x14ac:dyDescent="0.2">
      <c r="C947" s="15"/>
      <c r="D947" s="15"/>
      <c r="E947" s="15"/>
    </row>
    <row r="948" spans="3:5" x14ac:dyDescent="0.2">
      <c r="C948" s="15"/>
      <c r="D948" s="15"/>
      <c r="E948" s="15"/>
    </row>
    <row r="949" spans="3:5" x14ac:dyDescent="0.2">
      <c r="C949" s="15"/>
      <c r="D949" s="15"/>
      <c r="E949" s="15"/>
    </row>
    <row r="950" spans="3:5" x14ac:dyDescent="0.2">
      <c r="C950" s="15"/>
      <c r="D950" s="15"/>
      <c r="E950" s="15"/>
    </row>
    <row r="951" spans="3:5" x14ac:dyDescent="0.2">
      <c r="C951" s="15"/>
      <c r="D951" s="15"/>
      <c r="E951" s="15"/>
    </row>
    <row r="952" spans="3:5" x14ac:dyDescent="0.2">
      <c r="C952" s="15"/>
      <c r="D952" s="15"/>
      <c r="E952" s="15"/>
    </row>
    <row r="953" spans="3:5" x14ac:dyDescent="0.2">
      <c r="C953" s="15"/>
      <c r="D953" s="15"/>
      <c r="E953" s="15"/>
    </row>
    <row r="954" spans="3:5" x14ac:dyDescent="0.2">
      <c r="C954" s="15"/>
      <c r="D954" s="15"/>
      <c r="E954" s="15"/>
    </row>
    <row r="955" spans="3:5" x14ac:dyDescent="0.2">
      <c r="C955" s="15"/>
      <c r="D955" s="15"/>
      <c r="E955" s="15"/>
    </row>
    <row r="956" spans="3:5" x14ac:dyDescent="0.2">
      <c r="C956" s="15"/>
      <c r="D956" s="15"/>
      <c r="E956" s="15"/>
    </row>
    <row r="957" spans="3:5" x14ac:dyDescent="0.2">
      <c r="C957" s="15"/>
      <c r="D957" s="15"/>
      <c r="E957" s="15"/>
    </row>
    <row r="958" spans="3:5" x14ac:dyDescent="0.2">
      <c r="C958" s="15"/>
      <c r="D958" s="15"/>
      <c r="E958" s="15"/>
    </row>
    <row r="959" spans="3:5" x14ac:dyDescent="0.2">
      <c r="C959" s="15"/>
      <c r="D959" s="15"/>
      <c r="E959" s="15"/>
    </row>
    <row r="960" spans="3:5" x14ac:dyDescent="0.2">
      <c r="C960" s="15"/>
      <c r="D960" s="15"/>
      <c r="E960" s="15"/>
    </row>
    <row r="961" spans="3:5" x14ac:dyDescent="0.2">
      <c r="C961" s="15"/>
      <c r="D961" s="15"/>
      <c r="E961" s="15"/>
    </row>
    <row r="962" spans="3:5" x14ac:dyDescent="0.2">
      <c r="C962" s="15"/>
      <c r="D962" s="15"/>
      <c r="E962" s="15"/>
    </row>
    <row r="963" spans="3:5" x14ac:dyDescent="0.2">
      <c r="C963" s="15"/>
      <c r="D963" s="15"/>
      <c r="E963" s="15"/>
    </row>
    <row r="964" spans="3:5" x14ac:dyDescent="0.2">
      <c r="C964" s="15"/>
      <c r="D964" s="15"/>
      <c r="E964" s="15"/>
    </row>
    <row r="965" spans="3:5" x14ac:dyDescent="0.2">
      <c r="C965" s="15"/>
      <c r="D965" s="15"/>
      <c r="E965" s="15"/>
    </row>
    <row r="966" spans="3:5" x14ac:dyDescent="0.2">
      <c r="C966" s="15"/>
      <c r="D966" s="15"/>
      <c r="E966" s="15"/>
    </row>
    <row r="967" spans="3:5" x14ac:dyDescent="0.2">
      <c r="C967" s="15"/>
      <c r="D967" s="15"/>
      <c r="E967" s="15"/>
    </row>
    <row r="968" spans="3:5" x14ac:dyDescent="0.2">
      <c r="C968" s="15"/>
      <c r="D968" s="15"/>
      <c r="E968" s="15"/>
    </row>
    <row r="969" spans="3:5" x14ac:dyDescent="0.2">
      <c r="C969" s="15"/>
      <c r="D969" s="15"/>
      <c r="E969" s="15"/>
    </row>
    <row r="970" spans="3:5" x14ac:dyDescent="0.2">
      <c r="C970" s="15"/>
      <c r="D970" s="15"/>
      <c r="E970" s="15"/>
    </row>
    <row r="971" spans="3:5" x14ac:dyDescent="0.2">
      <c r="C971" s="15"/>
      <c r="D971" s="15"/>
      <c r="E971" s="15"/>
    </row>
    <row r="972" spans="3:5" x14ac:dyDescent="0.2">
      <c r="C972" s="15"/>
      <c r="D972" s="15"/>
      <c r="E972" s="15"/>
    </row>
    <row r="973" spans="3:5" x14ac:dyDescent="0.2">
      <c r="C973" s="15"/>
      <c r="D973" s="15"/>
      <c r="E973" s="15"/>
    </row>
    <row r="974" spans="3:5" x14ac:dyDescent="0.2">
      <c r="C974" s="15"/>
      <c r="D974" s="15"/>
      <c r="E974" s="15"/>
    </row>
    <row r="975" spans="3:5" x14ac:dyDescent="0.2">
      <c r="C975" s="15"/>
      <c r="D975" s="15"/>
      <c r="E975" s="15"/>
    </row>
    <row r="976" spans="3:5" x14ac:dyDescent="0.2">
      <c r="C976" s="15"/>
      <c r="D976" s="15"/>
      <c r="E976" s="15"/>
    </row>
    <row r="977" spans="3:5" x14ac:dyDescent="0.2">
      <c r="C977" s="15"/>
      <c r="D977" s="15"/>
      <c r="E977" s="15"/>
    </row>
    <row r="978" spans="3:5" x14ac:dyDescent="0.2">
      <c r="C978" s="15"/>
      <c r="D978" s="15"/>
      <c r="E978" s="15"/>
    </row>
    <row r="979" spans="3:5" x14ac:dyDescent="0.2">
      <c r="C979" s="15"/>
      <c r="D979" s="15"/>
      <c r="E979" s="15"/>
    </row>
    <row r="980" spans="3:5" x14ac:dyDescent="0.2">
      <c r="C980" s="15"/>
      <c r="D980" s="15"/>
      <c r="E980" s="15"/>
    </row>
    <row r="981" spans="3:5" x14ac:dyDescent="0.2">
      <c r="C981" s="15"/>
      <c r="D981" s="15"/>
      <c r="E981" s="15"/>
    </row>
  </sheetData>
  <autoFilter ref="A20:G923"/>
  <mergeCells count="23">
    <mergeCell ref="A927:B927"/>
    <mergeCell ref="B5:G5"/>
    <mergeCell ref="B7:G7"/>
    <mergeCell ref="A6:G6"/>
    <mergeCell ref="A19:G19"/>
    <mergeCell ref="A16:G17"/>
    <mergeCell ref="A18:G18"/>
    <mergeCell ref="A13:G13"/>
    <mergeCell ref="A9:G9"/>
    <mergeCell ref="A10:G10"/>
    <mergeCell ref="A925:E925"/>
    <mergeCell ref="E20:E21"/>
    <mergeCell ref="D20:D21"/>
    <mergeCell ref="C20:C21"/>
    <mergeCell ref="B20:B21"/>
    <mergeCell ref="A20:A21"/>
    <mergeCell ref="A923:E923"/>
    <mergeCell ref="C1:G1"/>
    <mergeCell ref="B2:G2"/>
    <mergeCell ref="B3:G3"/>
    <mergeCell ref="B4:G4"/>
    <mergeCell ref="A11:G11"/>
    <mergeCell ref="A12:G12"/>
  </mergeCells>
  <phoneticPr fontId="2" type="noConversion"/>
  <pageMargins left="0.39370078740157483" right="0.27559055118110237" top="0.39370078740157483" bottom="0.39370078740157483" header="0" footer="0"/>
  <pageSetup paperSize="9" scale="71" orientation="portrait" r:id="rId1"/>
  <headerFooter alignWithMargins="0">
    <oddFooter>&amp;C&amp;P</oddFooter>
  </headerFooter>
  <rowBreaks count="8" manualBreakCount="8">
    <brk id="67" max="6" man="1"/>
    <brk id="135" max="6" man="1"/>
    <brk id="200" max="6" man="1"/>
    <brk id="265" max="6" man="1"/>
    <brk id="325" max="6" man="1"/>
    <brk id="384" max="6" man="1"/>
    <brk id="446" max="6" man="1"/>
    <brk id="857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13"/>
  </sheetPr>
  <dimension ref="A1:C57"/>
  <sheetViews>
    <sheetView view="pageBreakPreview" zoomScale="130" zoomScaleNormal="120" zoomScaleSheetLayoutView="130" workbookViewId="0">
      <selection activeCell="B3" sqref="B3:C3"/>
    </sheetView>
  </sheetViews>
  <sheetFormatPr defaultRowHeight="12.75" x14ac:dyDescent="0.2"/>
  <cols>
    <col min="1" max="1" width="26.42578125" customWidth="1"/>
    <col min="2" max="2" width="63.7109375" customWidth="1"/>
    <col min="3" max="3" width="15" customWidth="1"/>
  </cols>
  <sheetData>
    <row r="1" spans="2:3" ht="12.75" customHeight="1" x14ac:dyDescent="0.25">
      <c r="B1" s="232" t="s">
        <v>592</v>
      </c>
      <c r="C1" s="232"/>
    </row>
    <row r="2" spans="2:3" ht="15" x14ac:dyDescent="0.25">
      <c r="B2" s="9"/>
      <c r="C2" s="1" t="s">
        <v>609</v>
      </c>
    </row>
    <row r="3" spans="2:3" ht="15" x14ac:dyDescent="0.25">
      <c r="B3" s="232" t="s">
        <v>853</v>
      </c>
      <c r="C3" s="232"/>
    </row>
    <row r="4" spans="2:3" ht="15" x14ac:dyDescent="0.25">
      <c r="B4" s="9"/>
      <c r="C4" s="1" t="s">
        <v>602</v>
      </c>
    </row>
    <row r="5" spans="2:3" ht="15" x14ac:dyDescent="0.25">
      <c r="B5" s="9"/>
      <c r="C5" s="1" t="s">
        <v>603</v>
      </c>
    </row>
    <row r="6" spans="2:3" ht="15" x14ac:dyDescent="0.25">
      <c r="B6" s="232" t="s">
        <v>610</v>
      </c>
      <c r="C6" s="232"/>
    </row>
    <row r="7" spans="2:3" ht="15" x14ac:dyDescent="0.25">
      <c r="B7" s="9"/>
      <c r="C7" s="1" t="s">
        <v>604</v>
      </c>
    </row>
    <row r="10" spans="2:3" ht="15" x14ac:dyDescent="0.25">
      <c r="B10" s="232" t="s">
        <v>316</v>
      </c>
      <c r="C10" s="232"/>
    </row>
    <row r="11" spans="2:3" ht="15" x14ac:dyDescent="0.25">
      <c r="B11" s="232" t="s">
        <v>608</v>
      </c>
      <c r="C11" s="232"/>
    </row>
    <row r="12" spans="2:3" ht="15" x14ac:dyDescent="0.25">
      <c r="B12" s="232" t="s">
        <v>605</v>
      </c>
      <c r="C12" s="232"/>
    </row>
    <row r="13" spans="2:3" ht="15" x14ac:dyDescent="0.25">
      <c r="B13" s="232" t="s">
        <v>606</v>
      </c>
      <c r="C13" s="232"/>
    </row>
    <row r="14" spans="2:3" ht="15" x14ac:dyDescent="0.25">
      <c r="B14" s="232" t="s">
        <v>607</v>
      </c>
      <c r="C14" s="232"/>
    </row>
    <row r="17" spans="1:3" ht="15.75" x14ac:dyDescent="0.25">
      <c r="A17" s="237" t="s">
        <v>792</v>
      </c>
      <c r="B17" s="237"/>
      <c r="C17" s="237"/>
    </row>
    <row r="18" spans="1:3" ht="15.75" x14ac:dyDescent="0.25">
      <c r="A18" s="237" t="s">
        <v>801</v>
      </c>
      <c r="B18" s="237"/>
      <c r="C18" s="237"/>
    </row>
    <row r="19" spans="1:3" ht="15.75" x14ac:dyDescent="0.25">
      <c r="A19" s="237" t="s">
        <v>737</v>
      </c>
      <c r="B19" s="237"/>
      <c r="C19" s="237"/>
    </row>
    <row r="20" spans="1:3" ht="13.5" customHeight="1" x14ac:dyDescent="0.2">
      <c r="A20" s="236" t="s">
        <v>793</v>
      </c>
      <c r="B20" s="236"/>
      <c r="C20" s="236"/>
    </row>
    <row r="21" spans="1:3" ht="45.75" customHeight="1" x14ac:dyDescent="0.2">
      <c r="A21" s="3" t="s">
        <v>791</v>
      </c>
      <c r="B21" s="4" t="s">
        <v>744</v>
      </c>
      <c r="C21" s="69" t="s">
        <v>738</v>
      </c>
    </row>
    <row r="22" spans="1:3" ht="31.5" x14ac:dyDescent="0.2">
      <c r="A22" s="27" t="s">
        <v>745</v>
      </c>
      <c r="B22" s="28" t="s">
        <v>258</v>
      </c>
      <c r="C22" s="133">
        <f>C23+C28+C33+C37</f>
        <v>130668.39933000039</v>
      </c>
    </row>
    <row r="23" spans="1:3" s="7" customFormat="1" ht="31.5" x14ac:dyDescent="0.2">
      <c r="A23" s="18" t="s">
        <v>746</v>
      </c>
      <c r="B23" s="6" t="s">
        <v>728</v>
      </c>
      <c r="C23" s="135">
        <f>C24+C26</f>
        <v>148753</v>
      </c>
    </row>
    <row r="24" spans="1:3" ht="31.5" x14ac:dyDescent="0.2">
      <c r="A24" s="19" t="s">
        <v>747</v>
      </c>
      <c r="B24" s="29" t="s">
        <v>259</v>
      </c>
      <c r="C24" s="137">
        <f>C25</f>
        <v>1318562</v>
      </c>
    </row>
    <row r="25" spans="1:3" ht="30.75" customHeight="1" x14ac:dyDescent="0.2">
      <c r="A25" s="19" t="s">
        <v>748</v>
      </c>
      <c r="B25" s="29" t="s">
        <v>257</v>
      </c>
      <c r="C25" s="137">
        <f>280000+85809+85000+218000+182000+200000+110000+9000+118345+30408</f>
        <v>1318562</v>
      </c>
    </row>
    <row r="26" spans="1:3" ht="30.75" customHeight="1" x14ac:dyDescent="0.2">
      <c r="A26" s="19" t="s">
        <v>749</v>
      </c>
      <c r="B26" s="29" t="s">
        <v>260</v>
      </c>
      <c r="C26" s="137">
        <f>C27</f>
        <v>-1169809</v>
      </c>
    </row>
    <row r="27" spans="1:3" ht="30.75" customHeight="1" x14ac:dyDescent="0.2">
      <c r="A27" s="19" t="s">
        <v>750</v>
      </c>
      <c r="B27" s="29" t="s">
        <v>262</v>
      </c>
      <c r="C27" s="137">
        <f>-280000-85809-85000-218000-182000-200000-110000-9000</f>
        <v>-1169809</v>
      </c>
    </row>
    <row r="28" spans="1:3" ht="33" customHeight="1" x14ac:dyDescent="0.2">
      <c r="A28" s="18" t="s">
        <v>751</v>
      </c>
      <c r="B28" s="6" t="s">
        <v>378</v>
      </c>
      <c r="C28" s="135">
        <f>C31+C29</f>
        <v>-30408</v>
      </c>
    </row>
    <row r="29" spans="1:3" ht="37.5" customHeight="1" x14ac:dyDescent="0.2">
      <c r="A29" s="17" t="s">
        <v>375</v>
      </c>
      <c r="B29" s="92" t="s">
        <v>467</v>
      </c>
      <c r="C29" s="137">
        <f>C30</f>
        <v>212784</v>
      </c>
    </row>
    <row r="30" spans="1:3" ht="50.25" customHeight="1" x14ac:dyDescent="0.2">
      <c r="A30" s="17" t="s">
        <v>374</v>
      </c>
      <c r="B30" s="92" t="s">
        <v>468</v>
      </c>
      <c r="C30" s="137">
        <f>211000+1784</f>
        <v>212784</v>
      </c>
    </row>
    <row r="31" spans="1:3" ht="48.75" customHeight="1" x14ac:dyDescent="0.2">
      <c r="A31" s="19" t="s">
        <v>376</v>
      </c>
      <c r="B31" s="92" t="s">
        <v>470</v>
      </c>
      <c r="C31" s="137">
        <f>C32</f>
        <v>-243192</v>
      </c>
    </row>
    <row r="32" spans="1:3" ht="46.5" customHeight="1" x14ac:dyDescent="0.2">
      <c r="A32" s="19" t="s">
        <v>377</v>
      </c>
      <c r="B32" s="92" t="s">
        <v>471</v>
      </c>
      <c r="C32" s="137">
        <f>-30408-211000-1784</f>
        <v>-243192</v>
      </c>
    </row>
    <row r="33" spans="1:3" s="5" customFormat="1" ht="30.75" customHeight="1" x14ac:dyDescent="0.2">
      <c r="A33" s="18" t="s">
        <v>657</v>
      </c>
      <c r="B33" s="38" t="s">
        <v>312</v>
      </c>
      <c r="C33" s="135">
        <f>C34</f>
        <v>10000</v>
      </c>
    </row>
    <row r="34" spans="1:3" s="5" customFormat="1" ht="30.75" customHeight="1" x14ac:dyDescent="0.2">
      <c r="A34" s="19" t="s">
        <v>658</v>
      </c>
      <c r="B34" s="29" t="s">
        <v>659</v>
      </c>
      <c r="C34" s="137">
        <f>C35</f>
        <v>10000</v>
      </c>
    </row>
    <row r="35" spans="1:3" s="5" customFormat="1" ht="30.75" customHeight="1" x14ac:dyDescent="0.2">
      <c r="A35" s="19" t="s">
        <v>660</v>
      </c>
      <c r="B35" s="29" t="s">
        <v>661</v>
      </c>
      <c r="C35" s="131">
        <f>C36</f>
        <v>10000</v>
      </c>
    </row>
    <row r="36" spans="1:3" s="5" customFormat="1" ht="30.75" customHeight="1" x14ac:dyDescent="0.2">
      <c r="A36" s="19" t="s">
        <v>662</v>
      </c>
      <c r="B36" s="29" t="s">
        <v>663</v>
      </c>
      <c r="C36" s="131">
        <v>10000</v>
      </c>
    </row>
    <row r="37" spans="1:3" s="5" customFormat="1" ht="30.75" customHeight="1" x14ac:dyDescent="0.2">
      <c r="A37" s="14" t="s">
        <v>752</v>
      </c>
      <c r="B37" s="134" t="s">
        <v>753</v>
      </c>
      <c r="C37" s="135">
        <f>C41+C45</f>
        <v>2323.3993300003931</v>
      </c>
    </row>
    <row r="38" spans="1:3" s="5" customFormat="1" ht="21" customHeight="1" x14ac:dyDescent="0.2">
      <c r="A38" s="91" t="s">
        <v>358</v>
      </c>
      <c r="B38" s="136" t="s">
        <v>359</v>
      </c>
      <c r="C38" s="137">
        <f>C39</f>
        <v>-6728102.6169499997</v>
      </c>
    </row>
    <row r="39" spans="1:3" s="5" customFormat="1" ht="18" customHeight="1" x14ac:dyDescent="0.2">
      <c r="A39" s="91" t="s">
        <v>360</v>
      </c>
      <c r="B39" s="136" t="s">
        <v>361</v>
      </c>
      <c r="C39" s="137">
        <f>C40</f>
        <v>-6728102.6169499997</v>
      </c>
    </row>
    <row r="40" spans="1:3" s="5" customFormat="1" ht="17.25" customHeight="1" x14ac:dyDescent="0.2">
      <c r="A40" s="91" t="s">
        <v>362</v>
      </c>
      <c r="B40" s="136" t="s">
        <v>363</v>
      </c>
      <c r="C40" s="137">
        <f>C41</f>
        <v>-6728102.6169499997</v>
      </c>
    </row>
    <row r="41" spans="1:3" s="5" customFormat="1" ht="30.75" customHeight="1" x14ac:dyDescent="0.2">
      <c r="A41" s="91" t="s">
        <v>364</v>
      </c>
      <c r="B41" s="136" t="s">
        <v>365</v>
      </c>
      <c r="C41" s="137">
        <f>-4295870.1-1318562-10000-97095.8-158816-18417.52132-518707.3-3579.9-24365.51175-276.675+7371.92-20498.4-48945.51079-86.79809-695.54-211000-573.48-1784-1600-4600</f>
        <v>-6728102.6169499997</v>
      </c>
    </row>
    <row r="42" spans="1:3" s="5" customFormat="1" ht="15.75" customHeight="1" x14ac:dyDescent="0.2">
      <c r="A42" s="91" t="s">
        <v>366</v>
      </c>
      <c r="B42" s="136" t="s">
        <v>367</v>
      </c>
      <c r="C42" s="137">
        <f>C43</f>
        <v>6730426.0162800001</v>
      </c>
    </row>
    <row r="43" spans="1:3" s="5" customFormat="1" ht="14.25" customHeight="1" x14ac:dyDescent="0.2">
      <c r="A43" s="91" t="s">
        <v>368</v>
      </c>
      <c r="B43" s="136" t="s">
        <v>369</v>
      </c>
      <c r="C43" s="137">
        <f>C44</f>
        <v>6730426.0162800001</v>
      </c>
    </row>
    <row r="44" spans="1:3" s="5" customFormat="1" ht="15" customHeight="1" x14ac:dyDescent="0.2">
      <c r="A44" s="91" t="s">
        <v>370</v>
      </c>
      <c r="B44" s="136" t="s">
        <v>371</v>
      </c>
      <c r="C44" s="137">
        <f>C45</f>
        <v>6730426.0162800001</v>
      </c>
    </row>
    <row r="45" spans="1:3" s="5" customFormat="1" ht="30.75" customHeight="1" x14ac:dyDescent="0.2">
      <c r="A45" s="91" t="s">
        <v>372</v>
      </c>
      <c r="B45" s="136" t="s">
        <v>373</v>
      </c>
      <c r="C45" s="137">
        <f>4424215.1+1169809+30408+97095.8+158816+2323.35933+18417.52132+518707.3+3579.9+24365.51175+276.675-7371.92+20498.44+48945.51079+86.79809+695.54+211000+573.48+1784+1600+4600</f>
        <v>6730426.0162800001</v>
      </c>
    </row>
    <row r="46" spans="1:3" s="5" customFormat="1" ht="14.25" hidden="1" customHeight="1" x14ac:dyDescent="0.2">
      <c r="A46" s="112"/>
      <c r="B46" s="113"/>
      <c r="C46" s="114"/>
    </row>
    <row r="47" spans="1:3" s="5" customFormat="1" ht="27" hidden="1" customHeight="1" x14ac:dyDescent="0.25">
      <c r="A47" s="253" t="s">
        <v>649</v>
      </c>
      <c r="B47" s="254"/>
      <c r="C47" s="254"/>
    </row>
    <row r="48" spans="1:3" s="5" customFormat="1" x14ac:dyDescent="0.2">
      <c r="C48" s="26"/>
    </row>
    <row r="49" spans="1:3" s="5" customFormat="1" x14ac:dyDescent="0.2">
      <c r="C49" s="26"/>
    </row>
    <row r="50" spans="1:3" s="5" customFormat="1" ht="31.5" customHeight="1" x14ac:dyDescent="0.2">
      <c r="A50" s="257"/>
      <c r="B50" s="257"/>
      <c r="C50" s="26"/>
    </row>
    <row r="51" spans="1:3" s="5" customFormat="1" x14ac:dyDescent="0.2">
      <c r="C51" s="26"/>
    </row>
    <row r="52" spans="1:3" s="5" customFormat="1" x14ac:dyDescent="0.2">
      <c r="C52" s="26"/>
    </row>
    <row r="53" spans="1:3" s="5" customFormat="1" x14ac:dyDescent="0.2">
      <c r="C53" s="26"/>
    </row>
    <row r="54" spans="1:3" s="5" customFormat="1" x14ac:dyDescent="0.2">
      <c r="C54" s="26"/>
    </row>
    <row r="55" spans="1:3" x14ac:dyDescent="0.2">
      <c r="C55" s="20"/>
    </row>
    <row r="56" spans="1:3" x14ac:dyDescent="0.2">
      <c r="C56" s="20"/>
    </row>
    <row r="57" spans="1:3" x14ac:dyDescent="0.2">
      <c r="C57" s="20"/>
    </row>
  </sheetData>
  <mergeCells count="14">
    <mergeCell ref="B14:C14"/>
    <mergeCell ref="B1:C1"/>
    <mergeCell ref="B10:C10"/>
    <mergeCell ref="B11:C11"/>
    <mergeCell ref="B12:C12"/>
    <mergeCell ref="B13:C13"/>
    <mergeCell ref="B6:C6"/>
    <mergeCell ref="B3:C3"/>
    <mergeCell ref="A18:C18"/>
    <mergeCell ref="A17:C17"/>
    <mergeCell ref="A50:B50"/>
    <mergeCell ref="A47:C47"/>
    <mergeCell ref="A20:C20"/>
    <mergeCell ref="A19:C19"/>
  </mergeCells>
  <phoneticPr fontId="2" type="noConversion"/>
  <pageMargins left="0.59055118110236227" right="0.39370078740157483" top="0.39370078740157483" bottom="0.39370078740157483" header="0" footer="0"/>
  <pageSetup paperSize="9" scale="90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D55"/>
  <sheetViews>
    <sheetView view="pageBreakPreview" zoomScale="130" zoomScaleNormal="120" zoomScaleSheetLayoutView="130" workbookViewId="0">
      <selection activeCell="B3" sqref="B3:D3"/>
    </sheetView>
  </sheetViews>
  <sheetFormatPr defaultRowHeight="12.75" x14ac:dyDescent="0.2"/>
  <cols>
    <col min="1" max="1" width="31.5703125" customWidth="1"/>
    <col min="2" max="2" width="50.7109375" customWidth="1"/>
    <col min="3" max="3" width="14.85546875" customWidth="1"/>
    <col min="4" max="4" width="15" customWidth="1"/>
  </cols>
  <sheetData>
    <row r="1" spans="1:4" ht="15.75" x14ac:dyDescent="0.25">
      <c r="A1" s="214"/>
      <c r="B1" s="215"/>
      <c r="C1" s="216"/>
      <c r="D1" s="217" t="s">
        <v>315</v>
      </c>
    </row>
    <row r="2" spans="1:4" ht="15.75" x14ac:dyDescent="0.25">
      <c r="A2" s="214"/>
      <c r="B2" s="258" t="s">
        <v>609</v>
      </c>
      <c r="C2" s="258"/>
      <c r="D2" s="258"/>
    </row>
    <row r="3" spans="1:4" ht="15.75" x14ac:dyDescent="0.25">
      <c r="A3" s="214"/>
      <c r="B3" s="258" t="s">
        <v>859</v>
      </c>
      <c r="C3" s="258"/>
      <c r="D3" s="258"/>
    </row>
    <row r="4" spans="1:4" ht="15.75" x14ac:dyDescent="0.25">
      <c r="A4" s="258" t="s">
        <v>602</v>
      </c>
      <c r="B4" s="258"/>
      <c r="C4" s="258"/>
      <c r="D4" s="258"/>
    </row>
    <row r="5" spans="1:4" ht="15.75" x14ac:dyDescent="0.25">
      <c r="A5" s="214"/>
      <c r="B5" s="258" t="s">
        <v>603</v>
      </c>
      <c r="C5" s="258"/>
      <c r="D5" s="258"/>
    </row>
    <row r="6" spans="1:4" ht="15.75" x14ac:dyDescent="0.25">
      <c r="A6" s="214"/>
      <c r="B6" s="258" t="s">
        <v>743</v>
      </c>
      <c r="C6" s="258"/>
      <c r="D6" s="258"/>
    </row>
    <row r="7" spans="1:4" ht="15.75" x14ac:dyDescent="0.25">
      <c r="A7" s="214"/>
      <c r="B7" s="258" t="s">
        <v>604</v>
      </c>
      <c r="C7" s="258"/>
      <c r="D7" s="258"/>
    </row>
    <row r="8" spans="1:4" ht="15" x14ac:dyDescent="0.2">
      <c r="A8" s="214"/>
      <c r="B8" s="214"/>
      <c r="C8" s="214"/>
      <c r="D8" s="214"/>
    </row>
    <row r="9" spans="1:4" ht="15.75" x14ac:dyDescent="0.25">
      <c r="A9" s="258" t="s">
        <v>741</v>
      </c>
      <c r="B9" s="258"/>
      <c r="C9" s="258"/>
      <c r="D9" s="258"/>
    </row>
    <row r="10" spans="1:4" ht="15.75" x14ac:dyDescent="0.25">
      <c r="A10" s="258" t="s">
        <v>608</v>
      </c>
      <c r="B10" s="258"/>
      <c r="C10" s="258"/>
      <c r="D10" s="258"/>
    </row>
    <row r="11" spans="1:4" ht="15.75" x14ac:dyDescent="0.25">
      <c r="A11" s="258" t="s">
        <v>605</v>
      </c>
      <c r="B11" s="258"/>
      <c r="C11" s="258"/>
      <c r="D11" s="258"/>
    </row>
    <row r="12" spans="1:4" ht="15.75" x14ac:dyDescent="0.25">
      <c r="A12" s="258" t="s">
        <v>606</v>
      </c>
      <c r="B12" s="258"/>
      <c r="C12" s="258"/>
      <c r="D12" s="258"/>
    </row>
    <row r="13" spans="1:4" ht="15.75" x14ac:dyDescent="0.25">
      <c r="A13" s="258" t="s">
        <v>607</v>
      </c>
      <c r="B13" s="258"/>
      <c r="C13" s="258"/>
      <c r="D13" s="258"/>
    </row>
    <row r="14" spans="1:4" ht="15" x14ac:dyDescent="0.2">
      <c r="A14" s="214"/>
      <c r="B14" s="214"/>
      <c r="C14" s="214"/>
      <c r="D14" s="214"/>
    </row>
    <row r="15" spans="1:4" ht="15.75" x14ac:dyDescent="0.25">
      <c r="A15" s="259"/>
      <c r="B15" s="259"/>
      <c r="C15" s="259"/>
      <c r="D15" s="259"/>
    </row>
    <row r="16" spans="1:4" ht="15.75" x14ac:dyDescent="0.25">
      <c r="A16" s="237" t="s">
        <v>792</v>
      </c>
      <c r="B16" s="237"/>
      <c r="C16" s="237"/>
      <c r="D16" s="237"/>
    </row>
    <row r="17" spans="1:4" ht="15.75" x14ac:dyDescent="0.25">
      <c r="A17" s="237" t="s">
        <v>801</v>
      </c>
      <c r="B17" s="237"/>
      <c r="C17" s="237"/>
      <c r="D17" s="237"/>
    </row>
    <row r="18" spans="1:4" ht="15.75" x14ac:dyDescent="0.25">
      <c r="A18" s="237" t="s">
        <v>598</v>
      </c>
      <c r="B18" s="237"/>
      <c r="C18" s="237"/>
      <c r="D18" s="237"/>
    </row>
    <row r="19" spans="1:4" x14ac:dyDescent="0.2">
      <c r="A19" s="236" t="s">
        <v>793</v>
      </c>
      <c r="B19" s="236"/>
      <c r="C19" s="236"/>
      <c r="D19" s="236"/>
    </row>
    <row r="20" spans="1:4" ht="63.75" x14ac:dyDescent="0.2">
      <c r="A20" s="3" t="s">
        <v>791</v>
      </c>
      <c r="B20" s="3" t="s">
        <v>744</v>
      </c>
      <c r="C20" s="3" t="s">
        <v>742</v>
      </c>
      <c r="D20" s="3" t="s">
        <v>742</v>
      </c>
    </row>
    <row r="21" spans="1:4" ht="16.5" customHeight="1" x14ac:dyDescent="0.2">
      <c r="A21" s="208"/>
      <c r="B21" s="208"/>
      <c r="C21" s="208" t="s">
        <v>567</v>
      </c>
      <c r="D21" s="208" t="s">
        <v>568</v>
      </c>
    </row>
    <row r="22" spans="1:4" ht="47.25" x14ac:dyDescent="0.2">
      <c r="A22" s="22" t="s">
        <v>745</v>
      </c>
      <c r="B22" s="28" t="s">
        <v>258</v>
      </c>
      <c r="C22" s="207">
        <f>C23+C28+C33+C37</f>
        <v>0</v>
      </c>
      <c r="D22" s="207">
        <f>D23+D28+D33+D37</f>
        <v>0</v>
      </c>
    </row>
    <row r="23" spans="1:4" ht="31.5" x14ac:dyDescent="0.2">
      <c r="A23" s="209" t="s">
        <v>746</v>
      </c>
      <c r="B23" s="6" t="s">
        <v>728</v>
      </c>
      <c r="C23" s="132">
        <f>C24+C26</f>
        <v>4400</v>
      </c>
      <c r="D23" s="132">
        <v>6600</v>
      </c>
    </row>
    <row r="24" spans="1:4" ht="31.5" x14ac:dyDescent="0.2">
      <c r="A24" s="210" t="s">
        <v>747</v>
      </c>
      <c r="B24" s="29" t="s">
        <v>259</v>
      </c>
      <c r="C24" s="131">
        <f>C25</f>
        <v>1322962</v>
      </c>
      <c r="D24" s="131">
        <f>D25</f>
        <v>1329562</v>
      </c>
    </row>
    <row r="25" spans="1:4" ht="47.25" x14ac:dyDescent="0.2">
      <c r="A25" s="210" t="s">
        <v>748</v>
      </c>
      <c r="B25" s="29" t="s">
        <v>257</v>
      </c>
      <c r="C25" s="131">
        <f>1318562+4400</f>
        <v>1322962</v>
      </c>
      <c r="D25" s="131">
        <f>1322962+6600</f>
        <v>1329562</v>
      </c>
    </row>
    <row r="26" spans="1:4" ht="47.25" x14ac:dyDescent="0.2">
      <c r="A26" s="210" t="s">
        <v>749</v>
      </c>
      <c r="B26" s="29" t="s">
        <v>260</v>
      </c>
      <c r="C26" s="131">
        <f>C27</f>
        <v>-1318562</v>
      </c>
      <c r="D26" s="131">
        <f>D27</f>
        <v>-1322962</v>
      </c>
    </row>
    <row r="27" spans="1:4" ht="47.25" x14ac:dyDescent="0.2">
      <c r="A27" s="210" t="s">
        <v>750</v>
      </c>
      <c r="B27" s="29" t="s">
        <v>262</v>
      </c>
      <c r="C27" s="131">
        <f>-1169809-30408-118345</f>
        <v>-1318562</v>
      </c>
      <c r="D27" s="131">
        <f>-1318562-4400</f>
        <v>-1322962</v>
      </c>
    </row>
    <row r="28" spans="1:4" ht="32.25" customHeight="1" x14ac:dyDescent="0.2">
      <c r="A28" s="209" t="s">
        <v>751</v>
      </c>
      <c r="B28" s="6" t="s">
        <v>378</v>
      </c>
      <c r="C28" s="132">
        <f>C29+C31</f>
        <v>-4400</v>
      </c>
      <c r="D28" s="132">
        <f>D29+D31</f>
        <v>-6600</v>
      </c>
    </row>
    <row r="29" spans="1:4" ht="48" customHeight="1" x14ac:dyDescent="0.2">
      <c r="A29" s="211" t="s">
        <v>375</v>
      </c>
      <c r="B29" s="92" t="s">
        <v>467</v>
      </c>
      <c r="C29" s="131">
        <f>C30</f>
        <v>100000</v>
      </c>
      <c r="D29" s="131">
        <f>D30</f>
        <v>100000</v>
      </c>
    </row>
    <row r="30" spans="1:4" ht="63" customHeight="1" x14ac:dyDescent="0.2">
      <c r="A30" s="211" t="s">
        <v>374</v>
      </c>
      <c r="B30" s="92" t="s">
        <v>468</v>
      </c>
      <c r="C30" s="131">
        <v>100000</v>
      </c>
      <c r="D30" s="131">
        <v>100000</v>
      </c>
    </row>
    <row r="31" spans="1:4" ht="53.25" customHeight="1" x14ac:dyDescent="0.2">
      <c r="A31" s="210" t="s">
        <v>376</v>
      </c>
      <c r="B31" s="92" t="s">
        <v>470</v>
      </c>
      <c r="C31" s="131">
        <f>C32</f>
        <v>-104400</v>
      </c>
      <c r="D31" s="131">
        <f>D32</f>
        <v>-106600</v>
      </c>
    </row>
    <row r="32" spans="1:4" ht="65.25" customHeight="1" x14ac:dyDescent="0.2">
      <c r="A32" s="210" t="s">
        <v>377</v>
      </c>
      <c r="B32" s="92" t="s">
        <v>471</v>
      </c>
      <c r="C32" s="131">
        <f>-4400-100000</f>
        <v>-104400</v>
      </c>
      <c r="D32" s="131">
        <f>-6600-100000</f>
        <v>-106600</v>
      </c>
    </row>
    <row r="33" spans="1:4" ht="31.5" x14ac:dyDescent="0.2">
      <c r="A33" s="209" t="s">
        <v>657</v>
      </c>
      <c r="B33" s="38" t="s">
        <v>312</v>
      </c>
      <c r="C33" s="132">
        <f t="shared" ref="C33:D36" si="0">C34</f>
        <v>0</v>
      </c>
      <c r="D33" s="132">
        <f t="shared" si="0"/>
        <v>0</v>
      </c>
    </row>
    <row r="34" spans="1:4" ht="47.25" x14ac:dyDescent="0.2">
      <c r="A34" s="210" t="s">
        <v>658</v>
      </c>
      <c r="B34" s="29" t="s">
        <v>659</v>
      </c>
      <c r="C34" s="131">
        <f t="shared" si="0"/>
        <v>0</v>
      </c>
      <c r="D34" s="131">
        <f t="shared" si="0"/>
        <v>0</v>
      </c>
    </row>
    <row r="35" spans="1:4" ht="63" customHeight="1" x14ac:dyDescent="0.2">
      <c r="A35" s="210" t="s">
        <v>660</v>
      </c>
      <c r="B35" s="29" t="s">
        <v>661</v>
      </c>
      <c r="C35" s="131">
        <f t="shared" si="0"/>
        <v>0</v>
      </c>
      <c r="D35" s="131">
        <f t="shared" si="0"/>
        <v>0</v>
      </c>
    </row>
    <row r="36" spans="1:4" ht="47.25" x14ac:dyDescent="0.2">
      <c r="A36" s="210" t="s">
        <v>662</v>
      </c>
      <c r="B36" s="29" t="s">
        <v>663</v>
      </c>
      <c r="C36" s="131">
        <f t="shared" si="0"/>
        <v>0</v>
      </c>
      <c r="D36" s="131">
        <f t="shared" si="0"/>
        <v>0</v>
      </c>
    </row>
    <row r="37" spans="1:4" ht="31.5" x14ac:dyDescent="0.2">
      <c r="A37" s="47" t="s">
        <v>752</v>
      </c>
      <c r="B37" s="134" t="s">
        <v>753</v>
      </c>
      <c r="C37" s="132">
        <f>C38+C42</f>
        <v>0</v>
      </c>
      <c r="D37" s="132">
        <f>D38+D42</f>
        <v>0</v>
      </c>
    </row>
    <row r="38" spans="1:4" ht="15.75" x14ac:dyDescent="0.2">
      <c r="A38" s="212" t="s">
        <v>358</v>
      </c>
      <c r="B38" s="136" t="s">
        <v>359</v>
      </c>
      <c r="C38" s="131">
        <f t="shared" ref="C38:D40" si="1">C39</f>
        <v>-5407773.4000000004</v>
      </c>
      <c r="D38" s="131">
        <f t="shared" si="1"/>
        <v>-5297885</v>
      </c>
    </row>
    <row r="39" spans="1:4" ht="15.75" x14ac:dyDescent="0.2">
      <c r="A39" s="212" t="s">
        <v>360</v>
      </c>
      <c r="B39" s="136" t="s">
        <v>361</v>
      </c>
      <c r="C39" s="131">
        <f t="shared" si="1"/>
        <v>-5407773.4000000004</v>
      </c>
      <c r="D39" s="131">
        <f t="shared" si="1"/>
        <v>-5297885</v>
      </c>
    </row>
    <row r="40" spans="1:4" ht="31.5" x14ac:dyDescent="0.2">
      <c r="A40" s="212" t="s">
        <v>362</v>
      </c>
      <c r="B40" s="136" t="s">
        <v>363</v>
      </c>
      <c r="C40" s="131">
        <f t="shared" si="1"/>
        <v>-5407773.4000000004</v>
      </c>
      <c r="D40" s="131">
        <f t="shared" si="1"/>
        <v>-5297885</v>
      </c>
    </row>
    <row r="41" spans="1:4" ht="31.5" x14ac:dyDescent="0.2">
      <c r="A41" s="212" t="s">
        <v>364</v>
      </c>
      <c r="B41" s="136" t="s">
        <v>365</v>
      </c>
      <c r="C41" s="137">
        <f>-5307773.4-100000</f>
        <v>-5407773.4000000004</v>
      </c>
      <c r="D41" s="137">
        <f>-5197885-100000</f>
        <v>-5297885</v>
      </c>
    </row>
    <row r="42" spans="1:4" ht="15.75" x14ac:dyDescent="0.2">
      <c r="A42" s="212" t="s">
        <v>366</v>
      </c>
      <c r="B42" s="136" t="s">
        <v>367</v>
      </c>
      <c r="C42" s="131">
        <f t="shared" ref="C42:D44" si="2">C43</f>
        <v>5407773.4000000004</v>
      </c>
      <c r="D42" s="131">
        <f t="shared" si="2"/>
        <v>5297885</v>
      </c>
    </row>
    <row r="43" spans="1:4" ht="15.75" x14ac:dyDescent="0.2">
      <c r="A43" s="212" t="s">
        <v>368</v>
      </c>
      <c r="B43" s="136" t="s">
        <v>369</v>
      </c>
      <c r="C43" s="131">
        <f t="shared" si="2"/>
        <v>5407773.4000000004</v>
      </c>
      <c r="D43" s="131">
        <f t="shared" si="2"/>
        <v>5297885</v>
      </c>
    </row>
    <row r="44" spans="1:4" ht="31.5" x14ac:dyDescent="0.2">
      <c r="A44" s="212" t="s">
        <v>370</v>
      </c>
      <c r="B44" s="136" t="s">
        <v>371</v>
      </c>
      <c r="C44" s="131">
        <f t="shared" si="2"/>
        <v>5407773.4000000004</v>
      </c>
      <c r="D44" s="131">
        <f t="shared" si="2"/>
        <v>5297885</v>
      </c>
    </row>
    <row r="45" spans="1:4" ht="31.5" x14ac:dyDescent="0.2">
      <c r="A45" s="212" t="s">
        <v>372</v>
      </c>
      <c r="B45" s="136" t="s">
        <v>373</v>
      </c>
      <c r="C45" s="137">
        <f>5307773.4+100000</f>
        <v>5407773.4000000004</v>
      </c>
      <c r="D45" s="137">
        <f>5197885+100000</f>
        <v>5297885</v>
      </c>
    </row>
    <row r="46" spans="1:4" ht="15.75" x14ac:dyDescent="0.25">
      <c r="A46" s="194"/>
      <c r="B46" s="194"/>
      <c r="C46" s="213"/>
      <c r="D46" s="194"/>
    </row>
    <row r="47" spans="1:4" ht="15.75" x14ac:dyDescent="0.25">
      <c r="A47" s="194"/>
      <c r="B47" s="194"/>
      <c r="C47" s="213"/>
      <c r="D47" s="194"/>
    </row>
    <row r="48" spans="1:4" ht="15.75" x14ac:dyDescent="0.25">
      <c r="A48" s="194"/>
      <c r="B48" s="194"/>
      <c r="C48" s="213"/>
      <c r="D48" s="194"/>
    </row>
    <row r="49" spans="1:4" ht="15.75" x14ac:dyDescent="0.25">
      <c r="A49" s="194"/>
      <c r="B49" s="194"/>
      <c r="C49" s="213"/>
      <c r="D49" s="214"/>
    </row>
    <row r="50" spans="1:4" x14ac:dyDescent="0.2">
      <c r="A50" s="5"/>
      <c r="B50" s="5"/>
      <c r="C50" s="26"/>
    </row>
    <row r="51" spans="1:4" x14ac:dyDescent="0.2">
      <c r="A51" s="5"/>
      <c r="B51" s="5"/>
      <c r="C51" s="26"/>
    </row>
    <row r="52" spans="1:4" x14ac:dyDescent="0.2">
      <c r="A52" s="5"/>
      <c r="B52" s="5"/>
      <c r="C52" s="26"/>
    </row>
    <row r="53" spans="1:4" x14ac:dyDescent="0.2">
      <c r="C53" s="20"/>
    </row>
    <row r="54" spans="1:4" x14ac:dyDescent="0.2">
      <c r="C54" s="20"/>
    </row>
    <row r="55" spans="1:4" x14ac:dyDescent="0.2">
      <c r="C55" s="20"/>
    </row>
  </sheetData>
  <mergeCells count="16">
    <mergeCell ref="B7:D7"/>
    <mergeCell ref="B2:D2"/>
    <mergeCell ref="B6:D6"/>
    <mergeCell ref="B3:D3"/>
    <mergeCell ref="B5:D5"/>
    <mergeCell ref="A4:D4"/>
    <mergeCell ref="A19:D19"/>
    <mergeCell ref="A17:D17"/>
    <mergeCell ref="A9:D9"/>
    <mergeCell ref="A10:D10"/>
    <mergeCell ref="A11:D11"/>
    <mergeCell ref="A12:D12"/>
    <mergeCell ref="A16:D16"/>
    <mergeCell ref="A15:D15"/>
    <mergeCell ref="A13:D13"/>
    <mergeCell ref="A18:D18"/>
  </mergeCells>
  <phoneticPr fontId="2" type="noConversion"/>
  <pageMargins left="0.59055118110236227" right="0.39370078740157483" top="0.19685039370078741" bottom="0.39370078740157483" header="0" footer="0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Доходы 2019 </vt:lpstr>
      <vt:lpstr> Ведомственная 2019  </vt:lpstr>
      <vt:lpstr>Ведомственная 2020-2021</vt:lpstr>
      <vt:lpstr>Расходы 2019</vt:lpstr>
      <vt:lpstr>Расходы 2020-2021</vt:lpstr>
      <vt:lpstr>МП, ВЦП и НПР 2019 </vt:lpstr>
      <vt:lpstr>МП, ВЦП и НПР 2020-2021</vt:lpstr>
      <vt:lpstr>Источники 2019</vt:lpstr>
      <vt:lpstr>Источники 2020-2021 годы</vt:lpstr>
      <vt:lpstr>Заимствования 2019</vt:lpstr>
      <vt:lpstr>' Ведомственная 2019  '!Заголовки_для_печати</vt:lpstr>
      <vt:lpstr>'МП, ВЦП и НПР 2019 '!Заголовки_для_печати</vt:lpstr>
      <vt:lpstr>'Расходы 2019'!Заголовки_для_печати</vt:lpstr>
      <vt:lpstr>' Ведомственная 2019  '!Область_печати</vt:lpstr>
      <vt:lpstr>'Доходы 2019 '!Область_печати</vt:lpstr>
      <vt:lpstr>'МП, ВЦП и НПР 2019 '!Область_печати</vt:lpstr>
      <vt:lpstr>'Расходы 2019'!Область_печати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Мадина Калабекова</cp:lastModifiedBy>
  <cp:lastPrinted>2019-09-30T12:10:24Z</cp:lastPrinted>
  <dcterms:created xsi:type="dcterms:W3CDTF">2010-10-28T10:47:01Z</dcterms:created>
  <dcterms:modified xsi:type="dcterms:W3CDTF">2019-10-02T09:18:45Z</dcterms:modified>
</cp:coreProperties>
</file>